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4950" windowHeight="4500" activeTab="0"/>
  </bookViews>
  <sheets>
    <sheet name="Instructions" sheetId="1" r:id="rId1"/>
    <sheet name="Plan" sheetId="2" r:id="rId2"/>
    <sheet name="Pattern" sheetId="3" r:id="rId3"/>
    <sheet name="Center of Effort" sheetId="4" r:id="rId4"/>
    <sheet name="Version History" sheetId="5" r:id="rId5"/>
  </sheets>
  <definedNames/>
  <calcPr fullCalcOnLoad="1"/>
</workbook>
</file>

<file path=xl/sharedStrings.xml><?xml version="1.0" encoding="utf-8"?>
<sst xmlns="http://schemas.openxmlformats.org/spreadsheetml/2006/main" count="314" uniqueCount="178">
  <si>
    <t>Luff</t>
  </si>
  <si>
    <t>Head</t>
  </si>
  <si>
    <t>Leech</t>
  </si>
  <si>
    <t>Foot</t>
  </si>
  <si>
    <t>feet</t>
  </si>
  <si>
    <t>inches</t>
  </si>
  <si>
    <t>feet (decimal)</t>
  </si>
  <si>
    <t>Luff Line</t>
  </si>
  <si>
    <t>X</t>
  </si>
  <si>
    <t>Y</t>
  </si>
  <si>
    <t>Tack</t>
  </si>
  <si>
    <t>Clew</t>
  </si>
  <si>
    <t>Throat</t>
  </si>
  <si>
    <t>Head Line</t>
  </si>
  <si>
    <t>Peak</t>
  </si>
  <si>
    <t>Leech Line</t>
  </si>
  <si>
    <t>Foot Line</t>
  </si>
  <si>
    <t>s</t>
  </si>
  <si>
    <t>K</t>
  </si>
  <si>
    <t>alpha</t>
  </si>
  <si>
    <t>delta X</t>
  </si>
  <si>
    <t>delta Y</t>
  </si>
  <si>
    <t>Diagonal Line</t>
  </si>
  <si>
    <t>Coordinates</t>
  </si>
  <si>
    <t>Trigonometry</t>
  </si>
  <si>
    <t>m</t>
  </si>
  <si>
    <t>b</t>
  </si>
  <si>
    <t>Upper Draft Line</t>
  </si>
  <si>
    <t>A</t>
  </si>
  <si>
    <t>Lower Draft Line</t>
  </si>
  <si>
    <t>Upper Dart</t>
  </si>
  <si>
    <t>Lower Dart</t>
  </si>
  <si>
    <t>Lower Crease</t>
  </si>
  <si>
    <t>H</t>
  </si>
  <si>
    <t>F</t>
  </si>
  <si>
    <t>Upper Draft Depth</t>
  </si>
  <si>
    <t>Head, h</t>
  </si>
  <si>
    <t>Throat-to-H, p</t>
  </si>
  <si>
    <t>H-to-Peak, r</t>
  </si>
  <si>
    <t>p'</t>
  </si>
  <si>
    <t>r'</t>
  </si>
  <si>
    <t>Tack-to-F, c</t>
  </si>
  <si>
    <t>F-to-Clew, t</t>
  </si>
  <si>
    <t>Foot, f</t>
  </si>
  <si>
    <t>Lower Draft Depth</t>
  </si>
  <si>
    <t>c'</t>
  </si>
  <si>
    <t>t'</t>
  </si>
  <si>
    <t>Delta d</t>
  </si>
  <si>
    <t>H-to-F, q</t>
  </si>
  <si>
    <t>H'-to-F', q'</t>
  </si>
  <si>
    <t>H-to-Clew, w</t>
  </si>
  <si>
    <t>w'</t>
  </si>
  <si>
    <t>H-to-Tack, v</t>
  </si>
  <si>
    <t>v'</t>
  </si>
  <si>
    <t>A1</t>
  </si>
  <si>
    <t>A2</t>
  </si>
  <si>
    <t>A3</t>
  </si>
  <si>
    <t>A4</t>
  </si>
  <si>
    <t>A5</t>
  </si>
  <si>
    <t>A6</t>
  </si>
  <si>
    <t>A7</t>
  </si>
  <si>
    <t>A8</t>
  </si>
  <si>
    <t>A9</t>
  </si>
  <si>
    <t>A10</t>
  </si>
  <si>
    <t>A11</t>
  </si>
  <si>
    <t>A12</t>
  </si>
  <si>
    <t>A13</t>
  </si>
  <si>
    <t>A14</t>
  </si>
  <si>
    <t>A15</t>
  </si>
  <si>
    <t>A16</t>
  </si>
  <si>
    <t>A17</t>
  </si>
  <si>
    <t>A18</t>
  </si>
  <si>
    <t>A19</t>
  </si>
  <si>
    <t>A20</t>
  </si>
  <si>
    <t>a</t>
  </si>
  <si>
    <t>c</t>
  </si>
  <si>
    <t>A (degrees)</t>
  </si>
  <si>
    <t>Peak-to-Tack Diagonal</t>
  </si>
  <si>
    <t>Area</t>
  </si>
  <si>
    <t>square feet</t>
  </si>
  <si>
    <t>p''</t>
  </si>
  <si>
    <t>l'</t>
  </si>
  <si>
    <t>Distance</t>
  </si>
  <si>
    <t>direction</t>
  </si>
  <si>
    <t>Point</t>
  </si>
  <si>
    <t>h'</t>
  </si>
  <si>
    <t>e'</t>
  </si>
  <si>
    <t>f'</t>
  </si>
  <si>
    <t>c''</t>
  </si>
  <si>
    <t>q'</t>
  </si>
  <si>
    <t>i'</t>
  </si>
  <si>
    <t>j'</t>
  </si>
  <si>
    <t>m'</t>
  </si>
  <si>
    <t>n'</t>
  </si>
  <si>
    <t>Adjusted</t>
  </si>
  <si>
    <t>Copyright 2005 Thomas J. Hamernik</t>
  </si>
  <si>
    <t>Segment</t>
  </si>
  <si>
    <t>Lower Dart Gap, a'</t>
  </si>
  <si>
    <t>Upper Dart Gap, b'</t>
  </si>
  <si>
    <t>a'</t>
  </si>
  <si>
    <t>b'</t>
  </si>
  <si>
    <t>Sail Pattern</t>
  </si>
  <si>
    <t>Length (inches)</t>
  </si>
  <si>
    <t>Sail Plan</t>
  </si>
  <si>
    <t>j'+l'+n'</t>
  </si>
  <si>
    <t>thamernik@hotmail.com</t>
  </si>
  <si>
    <t>"Plan" tab:</t>
  </si>
  <si>
    <t>"Pattern" tab:</t>
  </si>
  <si>
    <t>The sum of Segments j', l' and n' is shown below the tabulated data for layout convenience.</t>
  </si>
  <si>
    <t>INSTRUCTIONS</t>
  </si>
  <si>
    <t>Comments/Questions:</t>
  </si>
  <si>
    <t>Please contact me at thamernik@hotmail.com.</t>
  </si>
  <si>
    <t>The pattern is automatically generated.  You can adjust the size and the horizontal and vertical scales for your convenience.</t>
  </si>
  <si>
    <t>Because this is excel, the plan is not to scale.</t>
  </si>
  <si>
    <t>Version</t>
  </si>
  <si>
    <t>Date</t>
  </si>
  <si>
    <t>Comment</t>
  </si>
  <si>
    <t>Upper Camber Ratio</t>
  </si>
  <si>
    <t>Lower Camber Ratio</t>
  </si>
  <si>
    <t>Calculate COA:</t>
  </si>
  <si>
    <t>R</t>
  </si>
  <si>
    <t>T</t>
  </si>
  <si>
    <t>P</t>
  </si>
  <si>
    <t>C</t>
  </si>
  <si>
    <t>Mh</t>
  </si>
  <si>
    <t>Ml</t>
  </si>
  <si>
    <t>Me</t>
  </si>
  <si>
    <t>Mf</t>
  </si>
  <si>
    <t>T-Mh</t>
  </si>
  <si>
    <t>P-Ml</t>
  </si>
  <si>
    <t>T-Me</t>
  </si>
  <si>
    <t>P-Mf</t>
  </si>
  <si>
    <t>R-Me</t>
  </si>
  <si>
    <t>C-Mh</t>
  </si>
  <si>
    <t>R-Mf</t>
  </si>
  <si>
    <t>C-Ml</t>
  </si>
  <si>
    <t>COA1</t>
  </si>
  <si>
    <t>COA2</t>
  </si>
  <si>
    <t>COA3</t>
  </si>
  <si>
    <t>COA4</t>
  </si>
  <si>
    <t>COA1-COA2</t>
  </si>
  <si>
    <t>COA3-COA4</t>
  </si>
  <si>
    <t>d</t>
  </si>
  <si>
    <t>percent</t>
  </si>
  <si>
    <t>Depth of Draft at Upper Dart</t>
  </si>
  <si>
    <t>Depth of Draft at Lower Dart</t>
  </si>
  <si>
    <t>Location of Lower Dart (above Tack)</t>
  </si>
  <si>
    <t xml:space="preserve">Enter sail dimensions, camber ratios and maximum draft position (above the tack) in the yellow cells. </t>
  </si>
  <si>
    <t>Maximum Draft Position (Aft of Luff)</t>
  </si>
  <si>
    <t>"Version History" tab:</t>
  </si>
  <si>
    <t>This tab provides a history of SailDart.</t>
  </si>
  <si>
    <t>Tack'</t>
  </si>
  <si>
    <t>Tack''</t>
  </si>
  <si>
    <t>Throat'</t>
  </si>
  <si>
    <t>Throat''</t>
  </si>
  <si>
    <t>X (inches)</t>
  </si>
  <si>
    <t>Y (inches)</t>
  </si>
  <si>
    <t>X (feet)</t>
  </si>
  <si>
    <t>Y (feet)</t>
  </si>
  <si>
    <t>The dimensions of the various segments are tabulated.  The coordinates of points of interest are tabulated.</t>
  </si>
  <si>
    <t>Throat-to-Clew Diagonal</t>
  </si>
  <si>
    <t>This spreadsheet can be used with triangular sails through careful adjustment of the sail perimeter and throat-to-clew dimensions. Enter the desired Foot and Leech dimensions.  Divide the desired luff dimension by two and enter this value into the Luff and Head cells.  Set the upper and lower Camber Ratios to the desired camber ratio (they should be the same for a triangular sail).  Adjust the Throat-to-Clew diagonal dimension until the Luff and Head line segments fall in a line on the graph axis - start with a best-guess and tweak.  The upper dart gap on the Pattern tab, b', will be zero indicating that no upper dart is necessary.</t>
  </si>
  <si>
    <t>The shape of the sail is automatically generated.  You can adjust the size and the horizontal and vertical scales for your convenience.  Try to make the grid squares equal to best represent the actual proportions.</t>
  </si>
  <si>
    <t>Center of Effort</t>
  </si>
  <si>
    <t>"Center of Effort" tab:</t>
  </si>
  <si>
    <t>This tab provides the location of the Center of Effort relative to the X- and Y-axes and to the Tack and Clew.</t>
  </si>
  <si>
    <t>Please forward any bugs/errors noted.  Use at your own risk!</t>
  </si>
  <si>
    <t>COA/CE</t>
  </si>
  <si>
    <t>CE to Y-axis</t>
  </si>
  <si>
    <t>CE to X-axis</t>
  </si>
  <si>
    <t>CE to Tack</t>
  </si>
  <si>
    <t>CE to Clew</t>
  </si>
  <si>
    <t>Center of Effort Position:</t>
  </si>
  <si>
    <t>The details of the darts are shown in a separate line segment key sketch since the scale of the pattern obscures the a', b', m', n', i' &amp; j' dimensions (which are very small). The gap for the lower dart is b'.  The gap for the upper dart is b'.</t>
  </si>
  <si>
    <t>Hollows and rounds must be added to the pattern to accommodate spar bending and provide additional shaping, if desired.</t>
  </si>
  <si>
    <t>SailDart Version 1.00BC</t>
  </si>
  <si>
    <t>1.00BC</t>
  </si>
  <si>
    <t>Initial release. Saved as MS Excel 97, 2002 &amp; 5.0/95 compatible.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</si>
</sst>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16"/>
    <numFmt numFmtId="166" formatCode="#\ ?/8"/>
    <numFmt numFmtId="167" formatCode="[$-409]dddd\,\ mmmm\ dd\,\ yyyy"/>
    <numFmt numFmtId="168" formatCode="mm/dd/yy;@"/>
    <numFmt numFmtId="169" formatCode="0.0"/>
    <numFmt numFmtId="170" formatCode="0.00000"/>
    <numFmt numFmtId="171" formatCode="_(* #,##0.000_);_(* \(#,##0.000\);_(* &quot;-&quot;???_);_(@_)"/>
    <numFmt numFmtId="172" formatCode="#,##0.000_);\(#,##0.000\)"/>
  </numFmts>
  <fonts count="19">
    <font>
      <sz val="10"/>
      <name val="Arial"/>
      <family val="0"/>
    </font>
    <font>
      <sz val="8"/>
      <name val="Arial"/>
      <family val="0"/>
    </font>
    <font>
      <sz val="12"/>
      <name val="Arial"/>
      <family val="0"/>
    </font>
    <font>
      <b/>
      <sz val="9"/>
      <name val="Arial"/>
      <family val="2"/>
    </font>
    <font>
      <b/>
      <sz val="10"/>
      <name val="Arial"/>
      <family val="2"/>
    </font>
    <font>
      <b/>
      <sz val="14"/>
      <name val="Arial"/>
      <family val="2"/>
    </font>
    <font>
      <b/>
      <sz val="8"/>
      <name val="Arial"/>
      <family val="2"/>
    </font>
    <font>
      <b/>
      <sz val="16"/>
      <name val="Arial"/>
      <family val="0"/>
    </font>
    <font>
      <b/>
      <sz val="13.25"/>
      <name val="Arial"/>
      <family val="0"/>
    </font>
    <font>
      <sz val="11.75"/>
      <name val="Arial"/>
      <family val="0"/>
    </font>
    <font>
      <b/>
      <sz val="11.25"/>
      <name val="Arial"/>
      <family val="0"/>
    </font>
    <font>
      <sz val="11.25"/>
      <name val="Arial"/>
      <family val="0"/>
    </font>
    <font>
      <b/>
      <sz val="11"/>
      <name val="Arial"/>
      <family val="0"/>
    </font>
    <font>
      <sz val="9.25"/>
      <name val="Arial"/>
      <family val="0"/>
    </font>
    <font>
      <u val="single"/>
      <sz val="7.5"/>
      <color indexed="12"/>
      <name val="Arial"/>
      <family val="0"/>
    </font>
    <font>
      <b/>
      <u val="single"/>
      <sz val="8"/>
      <color indexed="12"/>
      <name val="Arial"/>
      <family val="2"/>
    </font>
    <font>
      <u val="single"/>
      <sz val="7.5"/>
      <color indexed="36"/>
      <name val="Arial"/>
      <family val="0"/>
    </font>
    <font>
      <b/>
      <sz val="12"/>
      <name val="Arial"/>
      <family val="0"/>
    </font>
    <font>
      <b/>
      <sz val="10.75"/>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0" fontId="0" fillId="0" borderId="0" xfId="0" applyFill="1" applyAlignment="1">
      <alignment/>
    </xf>
    <xf numFmtId="0" fontId="0" fillId="0" borderId="0" xfId="0" applyFont="1" applyAlignment="1">
      <alignment/>
    </xf>
    <xf numFmtId="164"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6" fillId="0" borderId="0" xfId="0" applyFont="1" applyAlignment="1">
      <alignment horizontal="center" wrapText="1"/>
    </xf>
    <xf numFmtId="166" fontId="0" fillId="0" borderId="0" xfId="0" applyNumberFormat="1" applyAlignment="1">
      <alignment horizontal="center"/>
    </xf>
    <xf numFmtId="2" fontId="0" fillId="0" borderId="0" xfId="0" applyNumberForma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0" fontId="0" fillId="0" borderId="0" xfId="0"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Border="1" applyAlignment="1">
      <alignment vertical="top" wrapText="1"/>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15" fillId="0" borderId="0" xfId="20" applyFont="1" applyAlignment="1">
      <alignment vertical="top"/>
    </xf>
    <xf numFmtId="0" fontId="1" fillId="0" borderId="0" xfId="0" applyFont="1" applyAlignment="1">
      <alignment vertical="top"/>
    </xf>
    <xf numFmtId="168" fontId="0" fillId="0" borderId="0" xfId="0" applyNumberFormat="1" applyAlignment="1">
      <alignment vertical="top"/>
    </xf>
    <xf numFmtId="168" fontId="0" fillId="0" borderId="0" xfId="0" applyNumberFormat="1" applyAlignment="1">
      <alignment horizontal="center" vertical="top"/>
    </xf>
    <xf numFmtId="168"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Alignment="1">
      <alignment/>
    </xf>
    <xf numFmtId="169" fontId="0" fillId="0" borderId="0" xfId="0" applyNumberFormat="1" applyAlignment="1">
      <alignment/>
    </xf>
    <xf numFmtId="169" fontId="0" fillId="2" borderId="0" xfId="0" applyNumberFormat="1" applyFill="1" applyAlignment="1">
      <alignment/>
    </xf>
    <xf numFmtId="2" fontId="0" fillId="0" borderId="0" xfId="0" applyNumberFormat="1" applyFill="1" applyAlignment="1">
      <alignment/>
    </xf>
    <xf numFmtId="0" fontId="0" fillId="0" borderId="0" xfId="0" applyFont="1" applyAlignment="1">
      <alignment vertical="top" wrapText="1"/>
    </xf>
    <xf numFmtId="0" fontId="0" fillId="0" borderId="0" xfId="0" applyFont="1" applyBorder="1" applyAlignment="1">
      <alignment vertical="top"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lef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4" fillId="0" borderId="8" xfId="0" applyFont="1" applyBorder="1" applyAlignment="1">
      <alignment horizontal="center"/>
    </xf>
    <xf numFmtId="172" fontId="0" fillId="0" borderId="9" xfId="0" applyNumberFormat="1" applyBorder="1" applyAlignment="1">
      <alignment horizontal="right"/>
    </xf>
    <xf numFmtId="172" fontId="0" fillId="0" borderId="3" xfId="0" applyNumberFormat="1" applyBorder="1" applyAlignment="1">
      <alignment horizontal="right"/>
    </xf>
    <xf numFmtId="172" fontId="0" fillId="0" borderId="10" xfId="0" applyNumberFormat="1" applyBorder="1" applyAlignment="1">
      <alignment horizontal="right"/>
    </xf>
    <xf numFmtId="172" fontId="0" fillId="0" borderId="11" xfId="0" applyNumberFormat="1" applyBorder="1" applyAlignment="1">
      <alignment horizontal="right"/>
    </xf>
    <xf numFmtId="172" fontId="0" fillId="0" borderId="12" xfId="0" applyNumberFormat="1" applyBorder="1" applyAlignment="1">
      <alignment horizontal="right"/>
    </xf>
    <xf numFmtId="172" fontId="0" fillId="0" borderId="13" xfId="0" applyNumberFormat="1" applyBorder="1" applyAlignment="1">
      <alignment horizontal="right"/>
    </xf>
    <xf numFmtId="172" fontId="0" fillId="0" borderId="14" xfId="0" applyNumberFormat="1" applyBorder="1" applyAlignment="1">
      <alignment horizontal="right"/>
    </xf>
    <xf numFmtId="172" fontId="0" fillId="0" borderId="15" xfId="0" applyNumberFormat="1" applyBorder="1" applyAlignment="1">
      <alignment horizontal="right"/>
    </xf>
    <xf numFmtId="0" fontId="4" fillId="0" borderId="16" xfId="0" applyFont="1" applyBorder="1" applyAlignment="1">
      <alignment horizontal="center"/>
    </xf>
    <xf numFmtId="172" fontId="0" fillId="0" borderId="17" xfId="0" applyNumberFormat="1" applyBorder="1" applyAlignment="1">
      <alignment horizontal="right"/>
    </xf>
    <xf numFmtId="49" fontId="5" fillId="0" borderId="0" xfId="0" applyNumberFormat="1" applyFont="1" applyAlignment="1">
      <alignment vertical="top"/>
    </xf>
    <xf numFmtId="49" fontId="6" fillId="0" borderId="0" xfId="0" applyNumberFormat="1" applyFont="1" applyAlignment="1">
      <alignment vertical="top"/>
    </xf>
    <xf numFmtId="49" fontId="4" fillId="0" borderId="1" xfId="0" applyNumberFormat="1" applyFont="1" applyBorder="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Sail Plan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0</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0</c:v>
                </c:pt>
              </c:numCache>
            </c:numRef>
          </c:xVal>
          <c:yVal>
            <c:numRef>
              <c:f>Plan!$C$230:$C$231</c:f>
              <c:numCache>
                <c:ptCount val="2"/>
                <c:pt idx="0">
                  <c:v>0</c:v>
                </c:pt>
                <c:pt idx="1">
                  <c:v>0</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0</c:v>
                </c:pt>
                <c:pt idx="1">
                  <c:v>0</c:v>
                </c:pt>
              </c:numCache>
            </c:numRef>
          </c:xVal>
          <c:yVal>
            <c:numRef>
              <c:f>Plan!$C$232:$C$233</c:f>
              <c:numCache>
                <c:ptCount val="2"/>
                <c:pt idx="0">
                  <c:v>0</c:v>
                </c:pt>
                <c:pt idx="1">
                  <c:v>0</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0</c:v>
                </c:pt>
                <c:pt idx="1">
                  <c:v>0</c:v>
                </c:pt>
              </c:numCache>
            </c:numRef>
          </c:xVal>
          <c:yVal>
            <c:numRef>
              <c:f>Plan!$C$234:$C$235</c:f>
              <c:numCache>
                <c:ptCount val="2"/>
                <c:pt idx="0">
                  <c:v>0</c:v>
                </c:pt>
                <c:pt idx="1">
                  <c:v>0</c:v>
                </c:pt>
              </c:numCache>
            </c:numRef>
          </c:yVal>
          <c:smooth val="0"/>
        </c:ser>
        <c:ser>
          <c:idx val="4"/>
          <c:order val="4"/>
          <c:tx>
            <c:v>Diagonal</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Plan!$B$236:$B$237</c:f>
              <c:numCache>
                <c:ptCount val="2"/>
                <c:pt idx="0">
                  <c:v>0</c:v>
                </c:pt>
                <c:pt idx="1">
                  <c:v>0</c:v>
                </c:pt>
              </c:numCache>
            </c:numRef>
          </c:xVal>
          <c:yVal>
            <c:numRef>
              <c:f>Plan!$C$236:$C$237</c:f>
              <c:numCache>
                <c:ptCount val="2"/>
                <c:pt idx="0">
                  <c:v>0</c:v>
                </c:pt>
                <c:pt idx="1">
                  <c:v>0</c:v>
                </c:pt>
              </c:numCache>
            </c:numRef>
          </c:yVal>
          <c:smooth val="0"/>
        </c:ser>
        <c:ser>
          <c:idx val="5"/>
          <c:order val="5"/>
          <c:tx>
            <c:v>Upper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Plan!$B$238:$B$239</c:f>
              <c:numCache>
                <c:ptCount val="2"/>
                <c:pt idx="0">
                  <c:v>0</c:v>
                </c:pt>
                <c:pt idx="1">
                  <c:v>0</c:v>
                </c:pt>
              </c:numCache>
            </c:numRef>
          </c:xVal>
          <c:yVal>
            <c:numRef>
              <c:f>Plan!$C$238:$C$239</c:f>
              <c:numCache>
                <c:ptCount val="2"/>
                <c:pt idx="0">
                  <c:v>0</c:v>
                </c:pt>
                <c:pt idx="1">
                  <c:v>0</c:v>
                </c:pt>
              </c:numCache>
            </c:numRef>
          </c:yVal>
          <c:smooth val="0"/>
        </c:ser>
        <c:ser>
          <c:idx val="6"/>
          <c:order val="6"/>
          <c:tx>
            <c:v>Lower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Plan!$B$240:$B$241</c:f>
              <c:numCache>
                <c:ptCount val="2"/>
                <c:pt idx="0">
                  <c:v>0</c:v>
                </c:pt>
                <c:pt idx="1">
                  <c:v>0</c:v>
                </c:pt>
              </c:numCache>
            </c:numRef>
          </c:xVal>
          <c:yVal>
            <c:numRef>
              <c:f>Plan!$C$240:$C$241</c:f>
              <c:numCache>
                <c:ptCount val="2"/>
                <c:pt idx="0">
                  <c:v>0</c:v>
                </c:pt>
                <c:pt idx="1">
                  <c:v>0</c:v>
                </c:pt>
              </c:numCache>
            </c:numRef>
          </c:yVal>
          <c:smooth val="0"/>
        </c:ser>
        <c:ser>
          <c:idx val="7"/>
          <c:order val="7"/>
          <c:tx>
            <c:v>Upper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Plan!$B$242:$B$243</c:f>
              <c:numCache>
                <c:ptCount val="2"/>
                <c:pt idx="0">
                  <c:v>0</c:v>
                </c:pt>
                <c:pt idx="1">
                  <c:v>0</c:v>
                </c:pt>
              </c:numCache>
            </c:numRef>
          </c:xVal>
          <c:yVal>
            <c:numRef>
              <c:f>Plan!$C$242:$C$243</c:f>
              <c:numCache>
                <c:ptCount val="2"/>
                <c:pt idx="0">
                  <c:v>0</c:v>
                </c:pt>
                <c:pt idx="1">
                  <c:v>0</c:v>
                </c:pt>
              </c:numCache>
            </c:numRef>
          </c:yVal>
          <c:smooth val="0"/>
        </c:ser>
        <c:ser>
          <c:idx val="8"/>
          <c:order val="8"/>
          <c:tx>
            <c:v>Lower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Plan!$B$244:$B$245</c:f>
              <c:numCache>
                <c:ptCount val="2"/>
                <c:pt idx="0">
                  <c:v>0</c:v>
                </c:pt>
                <c:pt idx="1">
                  <c:v>0</c:v>
                </c:pt>
              </c:numCache>
            </c:numRef>
          </c:xVal>
          <c:yVal>
            <c:numRef>
              <c:f>Plan!$C$244:$C$245</c:f>
              <c:numCache>
                <c:ptCount val="2"/>
                <c:pt idx="0">
                  <c:v>0</c:v>
                </c:pt>
                <c:pt idx="1">
                  <c:v>0</c:v>
                </c:pt>
              </c:numCache>
            </c:numRef>
          </c:yVal>
          <c:smooth val="0"/>
        </c:ser>
        <c:ser>
          <c:idx val="9"/>
          <c:order val="9"/>
          <c:tx>
            <c:v>Lower Crease</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Plan!$B$246:$B$247</c:f>
              <c:numCache>
                <c:ptCount val="2"/>
                <c:pt idx="0">
                  <c:v>0</c:v>
                </c:pt>
                <c:pt idx="1">
                  <c:v>0</c:v>
                </c:pt>
              </c:numCache>
            </c:numRef>
          </c:xVal>
          <c:yVal>
            <c:numRef>
              <c:f>Plan!$C$246:$C$247</c:f>
              <c:numCache>
                <c:ptCount val="2"/>
                <c:pt idx="0">
                  <c:v>0</c:v>
                </c:pt>
                <c:pt idx="1">
                  <c:v>0</c:v>
                </c:pt>
              </c:numCache>
            </c:numRef>
          </c:yVal>
          <c:smooth val="0"/>
        </c:ser>
        <c:axId val="2113732"/>
        <c:axId val="19023589"/>
      </c:scatterChart>
      <c:valAx>
        <c:axId val="2113732"/>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19023589"/>
        <c:crosses val="autoZero"/>
        <c:crossBetween val="midCat"/>
        <c:dispUnits/>
        <c:majorUnit val="1"/>
        <c:minorUnit val="1"/>
      </c:valAx>
      <c:valAx>
        <c:axId val="19023589"/>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2113732"/>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36994574"/>
        <c:axId val="64515711"/>
      </c:scatterChart>
      <c:valAx>
        <c:axId val="36994574"/>
        <c:scaling>
          <c:orientation val="minMax"/>
        </c:scaling>
        <c:axPos val="b"/>
        <c:majorGridlines/>
        <c:delete val="0"/>
        <c:numFmt formatCode="General" sourceLinked="1"/>
        <c:majorTickMark val="out"/>
        <c:minorTickMark val="out"/>
        <c:tickLblPos val="nextTo"/>
        <c:crossAx val="64515711"/>
        <c:crosses val="autoZero"/>
        <c:crossBetween val="midCat"/>
        <c:dispUnits/>
        <c:majorUnit val="1"/>
        <c:minorUnit val="0.5"/>
      </c:valAx>
      <c:valAx>
        <c:axId val="64515711"/>
        <c:scaling>
          <c:orientation val="minMax"/>
        </c:scaling>
        <c:axPos val="l"/>
        <c:majorGridlines>
          <c:spPr>
            <a:ln w="3175">
              <a:solidFill/>
            </a:ln>
          </c:spPr>
        </c:majorGridlines>
        <c:delete val="0"/>
        <c:numFmt formatCode="General" sourceLinked="1"/>
        <c:majorTickMark val="out"/>
        <c:minorTickMark val="out"/>
        <c:tickLblPos val="nextTo"/>
        <c:crossAx val="36994574"/>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Lower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3"/>
          <c:order val="0"/>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7"/>
          <c:order val="2"/>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axId val="43770488"/>
        <c:axId val="58390073"/>
      </c:scatterChart>
      <c:valAx>
        <c:axId val="43770488"/>
        <c:scaling>
          <c:orientation val="minMax"/>
        </c:scaling>
        <c:axPos val="b"/>
        <c:majorGridlines/>
        <c:delete val="0"/>
        <c:numFmt formatCode="General" sourceLinked="1"/>
        <c:majorTickMark val="out"/>
        <c:minorTickMark val="out"/>
        <c:tickLblPos val="nextTo"/>
        <c:crossAx val="58390073"/>
        <c:crosses val="autoZero"/>
        <c:crossBetween val="midCat"/>
        <c:dispUnits/>
      </c:valAx>
      <c:valAx>
        <c:axId val="58390073"/>
        <c:scaling>
          <c:orientation val="minMax"/>
        </c:scaling>
        <c:axPos val="l"/>
        <c:majorGridlines>
          <c:spPr>
            <a:ln w="3175">
              <a:solidFill/>
            </a:ln>
          </c:spPr>
        </c:majorGridlines>
        <c:delete val="0"/>
        <c:numFmt formatCode="General" sourceLinked="1"/>
        <c:majorTickMark val="out"/>
        <c:minorTickMark val="out"/>
        <c:tickLblPos val="nextTo"/>
        <c:crossAx val="43770488"/>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Upper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5"/>
          <c:order val="0"/>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8"/>
          <c:order val="2"/>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55748610"/>
        <c:axId val="31975443"/>
      </c:scatterChart>
      <c:valAx>
        <c:axId val="55748610"/>
        <c:scaling>
          <c:orientation val="minMax"/>
        </c:scaling>
        <c:axPos val="b"/>
        <c:majorGridlines/>
        <c:delete val="0"/>
        <c:numFmt formatCode="General" sourceLinked="1"/>
        <c:majorTickMark val="out"/>
        <c:minorTickMark val="out"/>
        <c:tickLblPos val="nextTo"/>
        <c:crossAx val="31975443"/>
        <c:crosses val="autoZero"/>
        <c:crossBetween val="midCat"/>
        <c:dispUnits/>
      </c:valAx>
      <c:valAx>
        <c:axId val="31975443"/>
        <c:scaling>
          <c:orientation val="minMax"/>
        </c:scaling>
        <c:axPos val="l"/>
        <c:majorGridlines>
          <c:spPr>
            <a:ln w="3175">
              <a:solidFill/>
            </a:ln>
          </c:spPr>
        </c:majorGridlines>
        <c:delete val="0"/>
        <c:numFmt formatCode="General" sourceLinked="1"/>
        <c:majorTickMark val="out"/>
        <c:minorTickMark val="out"/>
        <c:tickLblPos val="nextTo"/>
        <c:crossAx val="55748610"/>
        <c:crosses val="autoZero"/>
        <c:crossBetween val="midCat"/>
        <c:dispUnits/>
        <c:majorUnit val="0.25"/>
        <c:minorUnit val="0.062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manualLayout>
          <c:xMode val="edge"/>
          <c:yMode val="edge"/>
          <c:x val="0.086"/>
          <c:y val="0.15975"/>
          <c:w val="0.71725"/>
          <c:h val="0.75225"/>
        </c:manualLayout>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19343532"/>
        <c:axId val="39874061"/>
      </c:scatterChart>
      <c:valAx>
        <c:axId val="19343532"/>
        <c:scaling>
          <c:orientation val="minMax"/>
        </c:scaling>
        <c:axPos val="b"/>
        <c:title>
          <c:tx>
            <c:rich>
              <a:bodyPr vert="horz" rot="0" anchor="ctr"/>
              <a:lstStyle/>
              <a:p>
                <a:pPr algn="ctr">
                  <a:defRPr/>
                </a:pPr>
                <a:r>
                  <a:rPr lang="en-US" cap="none" sz="1075"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39874061"/>
        <c:crosses val="autoZero"/>
        <c:crossBetween val="midCat"/>
        <c:dispUnits/>
        <c:majorUnit val="1"/>
        <c:minorUnit val="0.5"/>
      </c:valAx>
      <c:valAx>
        <c:axId val="39874061"/>
        <c:scaling>
          <c:orientation val="minMax"/>
        </c:scaling>
        <c:axPos val="l"/>
        <c:title>
          <c:tx>
            <c:rich>
              <a:bodyPr vert="horz" rot="-5400000" anchor="ctr"/>
              <a:lstStyle/>
              <a:p>
                <a:pPr algn="ctr">
                  <a:defRPr/>
                </a:pPr>
                <a:r>
                  <a:rPr lang="en-US" cap="none" sz="1075"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19343532"/>
        <c:crosses val="autoZero"/>
        <c:crossBetween val="midCat"/>
        <c:dispUnits/>
        <c:majorUnit val="1"/>
        <c:minorUnit val="0.5"/>
      </c:valAx>
      <c:spPr>
        <a:solidFill>
          <a:srgbClr val="C0C0C0"/>
        </a:solidFill>
        <a:ln w="3175">
          <a:noFill/>
        </a:ln>
      </c:spPr>
    </c:plotArea>
    <c:legend>
      <c:legendPos val="r"/>
      <c:layout>
        <c:manualLayout>
          <c:xMode val="edge"/>
          <c:yMode val="edge"/>
          <c:x val="0.8135"/>
          <c:y val="0.10825"/>
          <c:w val="0.16825"/>
          <c:h val="0.88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Center of Effort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8.75</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2.5962135220894673</c:v>
                </c:pt>
              </c:numCache>
            </c:numRef>
          </c:xVal>
          <c:yVal>
            <c:numRef>
              <c:f>Plan!$C$230:$C$231</c:f>
              <c:numCache>
                <c:ptCount val="2"/>
                <c:pt idx="0">
                  <c:v>8.75</c:v>
                </c:pt>
                <c:pt idx="1">
                  <c:v>13.598677690641008</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2.5962135220894673</c:v>
                </c:pt>
                <c:pt idx="1">
                  <c:v>8.15355580429277</c:v>
                </c:pt>
              </c:numCache>
            </c:numRef>
          </c:xVal>
          <c:yVal>
            <c:numRef>
              <c:f>Plan!$C$232:$C$233</c:f>
              <c:numCache>
                <c:ptCount val="2"/>
                <c:pt idx="0">
                  <c:v>13.598677690641008</c:v>
                </c:pt>
                <c:pt idx="1">
                  <c:v>2.401984126984127</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8.15355580429277</c:v>
                </c:pt>
                <c:pt idx="1">
                  <c:v>0</c:v>
                </c:pt>
              </c:numCache>
            </c:numRef>
          </c:xVal>
          <c:yVal>
            <c:numRef>
              <c:f>Plan!$C$234:$C$235</c:f>
              <c:numCache>
                <c:ptCount val="2"/>
                <c:pt idx="0">
                  <c:v>2.401984126984127</c:v>
                </c:pt>
                <c:pt idx="1">
                  <c:v>0</c:v>
                </c:pt>
              </c:numCache>
            </c:numRef>
          </c:yVal>
          <c:smooth val="0"/>
        </c:ser>
        <c:ser>
          <c:idx val="4"/>
          <c:order val="4"/>
          <c:tx>
            <c:strRef>
              <c:f>Plan!$A$386</c:f>
              <c:strCache>
                <c:ptCount val="1"/>
                <c:pt idx="0">
                  <c:v>CE to Y-axis</c:v>
                </c:pt>
              </c:strCache>
            </c:strRef>
          </c:tx>
          <c:spPr>
            <a:ln w="127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Plan!$B$386:$B$387</c:f>
              <c:numCache>
                <c:ptCount val="2"/>
                <c:pt idx="0">
                  <c:v>3.0984741803678837</c:v>
                </c:pt>
                <c:pt idx="1">
                  <c:v>0</c:v>
                </c:pt>
              </c:numCache>
            </c:numRef>
          </c:xVal>
          <c:yVal>
            <c:numRef>
              <c:f>Plan!$C$386:$C$387</c:f>
              <c:numCache>
                <c:ptCount val="2"/>
                <c:pt idx="0">
                  <c:v>5.710985033870884</c:v>
                </c:pt>
                <c:pt idx="1">
                  <c:v>5.710985033870884</c:v>
                </c:pt>
              </c:numCache>
            </c:numRef>
          </c:yVal>
          <c:smooth val="0"/>
        </c:ser>
        <c:ser>
          <c:idx val="5"/>
          <c:order val="5"/>
          <c:tx>
            <c:strRef>
              <c:f>Plan!$A$388</c:f>
              <c:strCache>
                <c:ptCount val="1"/>
                <c:pt idx="0">
                  <c:v>CE to X-axis</c:v>
                </c:pt>
              </c:strCache>
            </c:strRef>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Plan!$B$388:$B$389</c:f>
              <c:numCache>
                <c:ptCount val="2"/>
                <c:pt idx="0">
                  <c:v>3.0984741803678837</c:v>
                </c:pt>
                <c:pt idx="1">
                  <c:v>3.0984741803678837</c:v>
                </c:pt>
              </c:numCache>
            </c:numRef>
          </c:xVal>
          <c:yVal>
            <c:numRef>
              <c:f>Plan!$C$388:$C$389</c:f>
              <c:numCache>
                <c:ptCount val="2"/>
                <c:pt idx="0">
                  <c:v>5.710985033870884</c:v>
                </c:pt>
                <c:pt idx="1">
                  <c:v>0</c:v>
                </c:pt>
              </c:numCache>
            </c:numRef>
          </c:yVal>
          <c:smooth val="0"/>
        </c:ser>
        <c:ser>
          <c:idx val="6"/>
          <c:order val="6"/>
          <c:tx>
            <c:strRef>
              <c:f>Plan!$A$391</c:f>
              <c:strCache>
                <c:ptCount val="1"/>
                <c:pt idx="0">
                  <c:v>CE to Tack</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Plan!$B$391:$B$392</c:f>
              <c:numCache>
                <c:ptCount val="2"/>
                <c:pt idx="0">
                  <c:v>3.0984741803678837</c:v>
                </c:pt>
                <c:pt idx="1">
                  <c:v>0</c:v>
                </c:pt>
              </c:numCache>
            </c:numRef>
          </c:xVal>
          <c:yVal>
            <c:numRef>
              <c:f>Plan!$C$391:$C$392</c:f>
              <c:numCache>
                <c:ptCount val="2"/>
                <c:pt idx="0">
                  <c:v>5.710985033870884</c:v>
                </c:pt>
                <c:pt idx="1">
                  <c:v>0</c:v>
                </c:pt>
              </c:numCache>
            </c:numRef>
          </c:yVal>
          <c:smooth val="0"/>
        </c:ser>
        <c:ser>
          <c:idx val="7"/>
          <c:order val="7"/>
          <c:tx>
            <c:strRef>
              <c:f>Plan!$A$393</c:f>
              <c:strCache>
                <c:ptCount val="1"/>
                <c:pt idx="0">
                  <c:v>CE to Clew</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Plan!$B$393:$B$394</c:f>
              <c:numCache>
                <c:ptCount val="2"/>
                <c:pt idx="0">
                  <c:v>3.0984741803678837</c:v>
                </c:pt>
                <c:pt idx="1">
                  <c:v>8.15355580429277</c:v>
                </c:pt>
              </c:numCache>
            </c:numRef>
          </c:xVal>
          <c:yVal>
            <c:numRef>
              <c:f>Plan!$C$393:$C$394</c:f>
              <c:numCache>
                <c:ptCount val="2"/>
                <c:pt idx="0">
                  <c:v>5.710985033870884</c:v>
                </c:pt>
                <c:pt idx="1">
                  <c:v>2.401984126984127</c:v>
                </c:pt>
              </c:numCache>
            </c:numRef>
          </c:yVal>
          <c:smooth val="0"/>
        </c:ser>
        <c:axId val="23322230"/>
        <c:axId val="8573479"/>
      </c:scatterChart>
      <c:valAx>
        <c:axId val="23322230"/>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8573479"/>
        <c:crosses val="autoZero"/>
        <c:crossBetween val="midCat"/>
        <c:dispUnits/>
        <c:majorUnit val="1"/>
        <c:minorUnit val="1"/>
      </c:valAx>
      <c:valAx>
        <c:axId val="8573479"/>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23322230"/>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0</xdr:row>
      <xdr:rowOff>85725</xdr:rowOff>
    </xdr:from>
    <xdr:to>
      <xdr:col>15</xdr:col>
      <xdr:colOff>457200</xdr:colOff>
      <xdr:row>31</xdr:row>
      <xdr:rowOff>38100</xdr:rowOff>
    </xdr:to>
    <xdr:graphicFrame>
      <xdr:nvGraphicFramePr>
        <xdr:cNvPr id="1" name="Chart 1"/>
        <xdr:cNvGraphicFramePr/>
      </xdr:nvGraphicFramePr>
      <xdr:xfrm>
        <a:off x="6353175" y="85725"/>
        <a:ext cx="4733925" cy="5038725"/>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313</xdr:row>
      <xdr:rowOff>9525</xdr:rowOff>
    </xdr:from>
    <xdr:to>
      <xdr:col>16</xdr:col>
      <xdr:colOff>276225</xdr:colOff>
      <xdr:row>339</xdr:row>
      <xdr:rowOff>152400</xdr:rowOff>
    </xdr:to>
    <xdr:graphicFrame>
      <xdr:nvGraphicFramePr>
        <xdr:cNvPr id="2" name="Chart 2"/>
        <xdr:cNvGraphicFramePr/>
      </xdr:nvGraphicFramePr>
      <xdr:xfrm>
        <a:off x="7077075" y="50758725"/>
        <a:ext cx="4438650" cy="43529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345</xdr:row>
      <xdr:rowOff>0</xdr:rowOff>
    </xdr:from>
    <xdr:to>
      <xdr:col>15</xdr:col>
      <xdr:colOff>371475</xdr:colOff>
      <xdr:row>367</xdr:row>
      <xdr:rowOff>95250</xdr:rowOff>
    </xdr:to>
    <xdr:graphicFrame>
      <xdr:nvGraphicFramePr>
        <xdr:cNvPr id="3" name="Chart 3"/>
        <xdr:cNvGraphicFramePr/>
      </xdr:nvGraphicFramePr>
      <xdr:xfrm>
        <a:off x="6972300" y="55930800"/>
        <a:ext cx="4029075" cy="36576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372</xdr:row>
      <xdr:rowOff>0</xdr:rowOff>
    </xdr:from>
    <xdr:to>
      <xdr:col>14</xdr:col>
      <xdr:colOff>295275</xdr:colOff>
      <xdr:row>395</xdr:row>
      <xdr:rowOff>95250</xdr:rowOff>
    </xdr:to>
    <xdr:graphicFrame>
      <xdr:nvGraphicFramePr>
        <xdr:cNvPr id="4" name="Chart 4"/>
        <xdr:cNvGraphicFramePr/>
      </xdr:nvGraphicFramePr>
      <xdr:xfrm>
        <a:off x="6972300" y="60302775"/>
        <a:ext cx="3343275" cy="38195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38100</xdr:rowOff>
    </xdr:from>
    <xdr:to>
      <xdr:col>10</xdr:col>
      <xdr:colOff>19050</xdr:colOff>
      <xdr:row>26</xdr:row>
      <xdr:rowOff>0</xdr:rowOff>
    </xdr:to>
    <xdr:graphicFrame>
      <xdr:nvGraphicFramePr>
        <xdr:cNvPr id="1" name="Chart 4"/>
        <xdr:cNvGraphicFramePr/>
      </xdr:nvGraphicFramePr>
      <xdr:xfrm>
        <a:off x="2400300" y="38100"/>
        <a:ext cx="4238625" cy="4352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66675</xdr:rowOff>
    </xdr:from>
    <xdr:to>
      <xdr:col>12</xdr:col>
      <xdr:colOff>0</xdr:colOff>
      <xdr:row>29</xdr:row>
      <xdr:rowOff>114300</xdr:rowOff>
    </xdr:to>
    <xdr:graphicFrame>
      <xdr:nvGraphicFramePr>
        <xdr:cNvPr id="1" name="Chart 1"/>
        <xdr:cNvGraphicFramePr/>
      </xdr:nvGraphicFramePr>
      <xdr:xfrm>
        <a:off x="2828925" y="66675"/>
        <a:ext cx="4752975" cy="4810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mernik@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75" zoomScaleNormal="75" workbookViewId="0" topLeftCell="A1">
      <selection activeCell="A31" sqref="A31"/>
    </sheetView>
  </sheetViews>
  <sheetFormatPr defaultColWidth="9.140625" defaultRowHeight="12.75"/>
  <cols>
    <col min="1" max="1" width="3.7109375" style="17" customWidth="1"/>
    <col min="2" max="2" width="85.7109375" style="17" customWidth="1"/>
    <col min="3" max="16384" width="9.140625" style="17" customWidth="1"/>
  </cols>
  <sheetData>
    <row r="1" s="22" customFormat="1" ht="18">
      <c r="A1" s="21" t="s">
        <v>175</v>
      </c>
    </row>
    <row r="2" s="22" customFormat="1" ht="12.75">
      <c r="A2" s="23" t="s">
        <v>95</v>
      </c>
    </row>
    <row r="3" s="25" customFormat="1" ht="11.25">
      <c r="A3" s="24" t="s">
        <v>105</v>
      </c>
    </row>
    <row r="5" ht="12.75">
      <c r="B5" s="18" t="s">
        <v>109</v>
      </c>
    </row>
    <row r="7" ht="12.75">
      <c r="B7" s="19" t="s">
        <v>106</v>
      </c>
    </row>
    <row r="8" spans="1:2" ht="15.75" customHeight="1">
      <c r="A8" s="17">
        <v>1</v>
      </c>
      <c r="B8" s="20" t="s">
        <v>147</v>
      </c>
    </row>
    <row r="9" spans="1:2" ht="26.25" customHeight="1">
      <c r="A9" s="17">
        <v>2</v>
      </c>
      <c r="B9" s="20" t="s">
        <v>162</v>
      </c>
    </row>
    <row r="10" spans="1:2" ht="79.5" customHeight="1">
      <c r="A10" s="17">
        <v>3</v>
      </c>
      <c r="B10" s="20" t="s">
        <v>161</v>
      </c>
    </row>
    <row r="11" spans="1:2" ht="12.75">
      <c r="A11" s="17">
        <v>4</v>
      </c>
      <c r="B11" s="20" t="s">
        <v>113</v>
      </c>
    </row>
    <row r="12" ht="12.75">
      <c r="B12" s="20"/>
    </row>
    <row r="13" ht="12.75">
      <c r="B13" s="19" t="s">
        <v>107</v>
      </c>
    </row>
    <row r="14" spans="1:2" ht="13.5" customHeight="1">
      <c r="A14" s="17">
        <v>1</v>
      </c>
      <c r="B14" s="20" t="s">
        <v>159</v>
      </c>
    </row>
    <row r="15" spans="1:2" ht="26.25" customHeight="1">
      <c r="A15" s="17">
        <v>2</v>
      </c>
      <c r="B15" s="20" t="s">
        <v>112</v>
      </c>
    </row>
    <row r="16" spans="1:2" ht="15.75" customHeight="1">
      <c r="A16" s="17">
        <v>3</v>
      </c>
      <c r="B16" s="20" t="s">
        <v>108</v>
      </c>
    </row>
    <row r="17" spans="1:2" ht="40.5" customHeight="1">
      <c r="A17" s="17">
        <v>4</v>
      </c>
      <c r="B17" s="17" t="s">
        <v>173</v>
      </c>
    </row>
    <row r="18" spans="1:2" ht="27.75" customHeight="1">
      <c r="A18" s="17">
        <v>5</v>
      </c>
      <c r="B18" s="17" t="s">
        <v>174</v>
      </c>
    </row>
    <row r="19" spans="1:2" ht="12.75">
      <c r="A19" s="17">
        <v>6</v>
      </c>
      <c r="B19" s="17" t="s">
        <v>113</v>
      </c>
    </row>
    <row r="21" ht="12.75">
      <c r="B21" s="19" t="s">
        <v>164</v>
      </c>
    </row>
    <row r="22" spans="1:2" ht="15.75" customHeight="1">
      <c r="A22" s="17">
        <v>1</v>
      </c>
      <c r="B22" s="17" t="s">
        <v>165</v>
      </c>
    </row>
    <row r="24" ht="12.75">
      <c r="B24" s="19" t="s">
        <v>149</v>
      </c>
    </row>
    <row r="25" spans="1:2" s="34" customFormat="1" ht="12.75">
      <c r="A25" s="34">
        <v>1</v>
      </c>
      <c r="B25" s="35" t="s">
        <v>150</v>
      </c>
    </row>
    <row r="26" ht="12.75">
      <c r="B26" s="19"/>
    </row>
    <row r="27" ht="12.75">
      <c r="B27" s="18" t="s">
        <v>110</v>
      </c>
    </row>
    <row r="28" spans="1:2" ht="12.75">
      <c r="A28" s="17">
        <v>1</v>
      </c>
      <c r="B28" s="17" t="s">
        <v>111</v>
      </c>
    </row>
    <row r="29" spans="1:2" ht="12.75">
      <c r="A29" s="17">
        <v>2</v>
      </c>
      <c r="B29" s="17" t="s">
        <v>166</v>
      </c>
    </row>
  </sheetData>
  <hyperlinks>
    <hyperlink ref="A3" r:id="rId1" display="thamernik@hotmai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94"/>
  <sheetViews>
    <sheetView showGridLines="0" zoomScale="75" zoomScaleNormal="75" workbookViewId="0" topLeftCell="A1">
      <selection activeCell="A23" sqref="A23"/>
    </sheetView>
  </sheetViews>
  <sheetFormatPr defaultColWidth="9.140625" defaultRowHeight="12.75"/>
  <cols>
    <col min="1" max="1" width="30.7109375" style="0" customWidth="1"/>
    <col min="2" max="2" width="8.7109375" style="0" customWidth="1"/>
    <col min="3" max="3" width="7.421875" style="0" customWidth="1"/>
    <col min="4" max="4" width="8.7109375" style="0" customWidth="1"/>
    <col min="5" max="6" width="6.8515625" style="0" customWidth="1"/>
    <col min="7" max="7" width="17.00390625" style="0" customWidth="1"/>
  </cols>
  <sheetData>
    <row r="1" ht="18">
      <c r="A1" s="5" t="s">
        <v>103</v>
      </c>
    </row>
    <row r="2" ht="12.75">
      <c r="A2" s="6" t="s">
        <v>95</v>
      </c>
    </row>
    <row r="4" spans="1:7" ht="12.75">
      <c r="A4" t="s">
        <v>0</v>
      </c>
      <c r="B4" s="1">
        <v>8</v>
      </c>
      <c r="C4" t="s">
        <v>4</v>
      </c>
      <c r="D4" s="1">
        <v>9</v>
      </c>
      <c r="E4" t="s">
        <v>5</v>
      </c>
      <c r="F4" s="4">
        <f>+B4+D4/12</f>
        <v>8.75</v>
      </c>
      <c r="G4" t="s">
        <v>6</v>
      </c>
    </row>
    <row r="5" spans="1:7" ht="12.75">
      <c r="A5" t="s">
        <v>1</v>
      </c>
      <c r="B5" s="1">
        <v>5</v>
      </c>
      <c r="C5" t="s">
        <v>4</v>
      </c>
      <c r="D5" s="1">
        <v>6</v>
      </c>
      <c r="E5" t="s">
        <v>5</v>
      </c>
      <c r="F5" s="4">
        <f>+B5+D5/12</f>
        <v>5.5</v>
      </c>
      <c r="G5" t="s">
        <v>6</v>
      </c>
    </row>
    <row r="6" spans="1:7" ht="12.75">
      <c r="A6" t="s">
        <v>2</v>
      </c>
      <c r="B6" s="1">
        <v>12</v>
      </c>
      <c r="C6" t="s">
        <v>4</v>
      </c>
      <c r="D6" s="1">
        <v>6</v>
      </c>
      <c r="E6" t="s">
        <v>5</v>
      </c>
      <c r="F6" s="4">
        <f>+B6+D6/12</f>
        <v>12.5</v>
      </c>
      <c r="G6" t="s">
        <v>6</v>
      </c>
    </row>
    <row r="7" spans="1:7" ht="12.75">
      <c r="A7" t="s">
        <v>3</v>
      </c>
      <c r="B7" s="1">
        <v>8</v>
      </c>
      <c r="C7" t="s">
        <v>4</v>
      </c>
      <c r="D7" s="1">
        <v>6</v>
      </c>
      <c r="E7" t="s">
        <v>5</v>
      </c>
      <c r="F7" s="4">
        <f>+B7+D7/12</f>
        <v>8.5</v>
      </c>
      <c r="G7" t="s">
        <v>6</v>
      </c>
    </row>
    <row r="8" spans="1:7" ht="12.75">
      <c r="A8" t="s">
        <v>160</v>
      </c>
      <c r="B8" s="1">
        <v>10</v>
      </c>
      <c r="C8" t="s">
        <v>4</v>
      </c>
      <c r="D8" s="1">
        <v>4</v>
      </c>
      <c r="E8" t="s">
        <v>5</v>
      </c>
      <c r="F8" s="4">
        <f>+B8+D8/12</f>
        <v>10.333333333333334</v>
      </c>
      <c r="G8" t="s">
        <v>6</v>
      </c>
    </row>
    <row r="9" spans="1:7" ht="12.75">
      <c r="A9" t="s">
        <v>77</v>
      </c>
      <c r="B9" s="4"/>
      <c r="C9" s="2"/>
      <c r="D9" s="2"/>
      <c r="F9" s="4">
        <f>((C231-C228)^2+(B231-B228)^2)^0.5</f>
        <v>13.844289782658324</v>
      </c>
      <c r="G9" t="s">
        <v>6</v>
      </c>
    </row>
    <row r="10" spans="2:6" ht="12.75">
      <c r="B10" s="4"/>
      <c r="C10" s="2"/>
      <c r="D10" s="2"/>
      <c r="F10" s="4"/>
    </row>
    <row r="11" spans="1:7" ht="12.75">
      <c r="A11" t="s">
        <v>78</v>
      </c>
      <c r="B11" s="4"/>
      <c r="C11" s="2"/>
      <c r="D11" s="2"/>
      <c r="F11" s="31">
        <f>(B222*(B222-F4)*(B222-F8)*(B222-F7))^0.5+(B224*(B224-F5)*(B224-F8)*(B224-F6))^0.5</f>
        <v>63.6791910315975</v>
      </c>
      <c r="G11" t="s">
        <v>79</v>
      </c>
    </row>
    <row r="12" spans="2:6" ht="12.75">
      <c r="B12" s="4"/>
      <c r="C12" s="2"/>
      <c r="D12" s="2"/>
      <c r="F12" s="4"/>
    </row>
    <row r="13" spans="1:6" ht="12.75">
      <c r="A13" t="s">
        <v>117</v>
      </c>
      <c r="B13" s="1">
        <v>8</v>
      </c>
      <c r="C13" t="s">
        <v>143</v>
      </c>
      <c r="D13" s="2"/>
      <c r="F13" s="4"/>
    </row>
    <row r="14" spans="1:4" ht="12.75">
      <c r="A14" t="s">
        <v>118</v>
      </c>
      <c r="B14" s="1">
        <v>10</v>
      </c>
      <c r="C14" t="s">
        <v>143</v>
      </c>
      <c r="D14" s="2"/>
    </row>
    <row r="15" spans="1:4" ht="12.75">
      <c r="A15" t="s">
        <v>148</v>
      </c>
      <c r="B15" s="32">
        <v>33.333333333333336</v>
      </c>
      <c r="C15" t="s">
        <v>143</v>
      </c>
      <c r="D15" s="2"/>
    </row>
    <row r="16" spans="1:7" ht="12.75">
      <c r="A16" t="s">
        <v>146</v>
      </c>
      <c r="B16" s="1">
        <v>2</v>
      </c>
      <c r="C16" t="s">
        <v>4</v>
      </c>
      <c r="D16" s="1">
        <v>3</v>
      </c>
      <c r="E16" t="s">
        <v>5</v>
      </c>
      <c r="F16" s="4">
        <f>+B16+D16/12</f>
        <v>2.25</v>
      </c>
      <c r="G16" t="s">
        <v>6</v>
      </c>
    </row>
    <row r="17" spans="2:6" ht="12.75">
      <c r="B17" s="2"/>
      <c r="C17" s="2"/>
      <c r="D17" s="2"/>
      <c r="F17" s="4"/>
    </row>
    <row r="18" spans="1:6" ht="12.75">
      <c r="A18" t="s">
        <v>144</v>
      </c>
      <c r="B18" s="33">
        <f>+E252</f>
        <v>4.802683731485911</v>
      </c>
      <c r="C18" s="2" t="s">
        <v>5</v>
      </c>
      <c r="D18" s="2"/>
      <c r="F18" s="4"/>
    </row>
    <row r="19" spans="1:6" ht="12.75">
      <c r="A19" t="s">
        <v>145</v>
      </c>
      <c r="B19" s="33">
        <f>+E258</f>
        <v>9.874789526331801</v>
      </c>
      <c r="C19" s="2" t="s">
        <v>5</v>
      </c>
      <c r="D19" s="2"/>
      <c r="F19" s="4"/>
    </row>
    <row r="20" spans="2:6" ht="12.75">
      <c r="B20" s="2"/>
      <c r="C20" s="2"/>
      <c r="D20" s="2"/>
      <c r="F20" s="4"/>
    </row>
    <row r="21" spans="2:6" ht="12.75">
      <c r="B21" s="2"/>
      <c r="C21" s="2"/>
      <c r="D21" s="2"/>
      <c r="F21" s="4"/>
    </row>
    <row r="22" spans="2:6" ht="12.75">
      <c r="B22" s="2"/>
      <c r="C22" s="2"/>
      <c r="D22" s="2"/>
      <c r="F22" s="4"/>
    </row>
    <row r="23" spans="2:6" ht="12.75">
      <c r="B23" s="2"/>
      <c r="C23" s="2"/>
      <c r="D23" s="2"/>
      <c r="F23" s="4"/>
    </row>
    <row r="24" spans="2:6" ht="12.75">
      <c r="B24" s="2"/>
      <c r="C24" s="2"/>
      <c r="D24" s="2"/>
      <c r="F24" s="4"/>
    </row>
    <row r="25" spans="2:6" ht="12.75">
      <c r="B25" s="2"/>
      <c r="C25" s="2"/>
      <c r="D25" s="2"/>
      <c r="F25" s="4"/>
    </row>
    <row r="26" spans="2:6" ht="12.75">
      <c r="B26" s="2"/>
      <c r="C26" s="2"/>
      <c r="D26" s="2"/>
      <c r="F26" s="4"/>
    </row>
    <row r="27" spans="2:6" ht="12.75">
      <c r="B27" s="2"/>
      <c r="C27" s="2"/>
      <c r="D27" s="2"/>
      <c r="F27" s="4"/>
    </row>
    <row r="28" spans="2:6" ht="12.75">
      <c r="B28" s="2"/>
      <c r="C28" s="2"/>
      <c r="D28" s="2"/>
      <c r="F28" s="4"/>
    </row>
    <row r="29" spans="2:6" ht="12.75">
      <c r="B29" s="2"/>
      <c r="C29" s="2"/>
      <c r="D29" s="2"/>
      <c r="F29" s="4"/>
    </row>
    <row r="30" spans="2:6" ht="12.75">
      <c r="B30" s="2"/>
      <c r="C30" s="2"/>
      <c r="D30" s="2"/>
      <c r="F30" s="4"/>
    </row>
    <row r="31" spans="2:6" ht="12.75">
      <c r="B31" s="2"/>
      <c r="C31" s="2"/>
      <c r="D31" s="2"/>
      <c r="F31" s="4"/>
    </row>
    <row r="32" spans="2:6" ht="12.75">
      <c r="B32" s="2"/>
      <c r="C32" s="2"/>
      <c r="D32" s="2"/>
      <c r="F32" s="4"/>
    </row>
    <row r="33" spans="2:6" ht="12.75">
      <c r="B33" s="2"/>
      <c r="C33" s="2"/>
      <c r="D33" s="2"/>
      <c r="F33" s="4"/>
    </row>
    <row r="34" spans="2:6" ht="12.75">
      <c r="B34" s="2"/>
      <c r="C34" s="2"/>
      <c r="D34" s="2"/>
      <c r="F34" s="4"/>
    </row>
    <row r="35" spans="2:6" ht="12.75">
      <c r="B35" s="2"/>
      <c r="C35" s="2"/>
      <c r="D35" s="2"/>
      <c r="F35" s="4"/>
    </row>
    <row r="36" spans="2:6" ht="12.75">
      <c r="B36" s="2"/>
      <c r="C36" s="2"/>
      <c r="D36" s="2"/>
      <c r="F36" s="4"/>
    </row>
    <row r="37" spans="2:6" ht="12.75">
      <c r="B37" s="2"/>
      <c r="C37" s="2"/>
      <c r="D37" s="2"/>
      <c r="F37" s="4"/>
    </row>
    <row r="38" spans="2:6" ht="12.75">
      <c r="B38" s="2"/>
      <c r="C38" s="2"/>
      <c r="D38" s="2"/>
      <c r="F38" s="4"/>
    </row>
    <row r="39" spans="2:6" ht="12.75">
      <c r="B39" s="2"/>
      <c r="C39" s="2"/>
      <c r="D39" s="2"/>
      <c r="F39" s="4"/>
    </row>
    <row r="40" spans="2:6" ht="12.75">
      <c r="B40" s="2"/>
      <c r="C40" s="2"/>
      <c r="D40" s="2"/>
      <c r="F40" s="4"/>
    </row>
    <row r="41" spans="2:6" ht="12.75">
      <c r="B41" s="2"/>
      <c r="C41" s="2"/>
      <c r="D41" s="2"/>
      <c r="F41" s="4"/>
    </row>
    <row r="42" spans="2:6" ht="12.75">
      <c r="B42" s="2"/>
      <c r="C42" s="2"/>
      <c r="D42" s="2"/>
      <c r="F42" s="4"/>
    </row>
    <row r="43" spans="2:6" ht="12.75">
      <c r="B43" s="2"/>
      <c r="C43" s="2"/>
      <c r="D43" s="2"/>
      <c r="F43" s="4"/>
    </row>
    <row r="44" spans="2:6" ht="12.75">
      <c r="B44" s="2"/>
      <c r="C44" s="2"/>
      <c r="D44" s="2"/>
      <c r="F44" s="4"/>
    </row>
    <row r="45" spans="2:6" ht="12.75">
      <c r="B45" s="2"/>
      <c r="C45" s="2"/>
      <c r="D45" s="2"/>
      <c r="F45" s="4"/>
    </row>
    <row r="46" spans="2:6" ht="12.75">
      <c r="B46" s="2"/>
      <c r="C46" s="2"/>
      <c r="D46" s="2"/>
      <c r="F46" s="4"/>
    </row>
    <row r="47" spans="2:6" ht="12.75">
      <c r="B47" s="2"/>
      <c r="C47" s="2"/>
      <c r="D47" s="2"/>
      <c r="F47" s="4"/>
    </row>
    <row r="48" spans="2:6" ht="12.75">
      <c r="B48" s="2"/>
      <c r="C48" s="2"/>
      <c r="D48" s="2"/>
      <c r="F48" s="4"/>
    </row>
    <row r="49" spans="2:6" ht="12.75">
      <c r="B49" s="2"/>
      <c r="C49" s="2"/>
      <c r="D49" s="2"/>
      <c r="F49" s="4"/>
    </row>
    <row r="50" spans="2:6" ht="12.75">
      <c r="B50" s="2"/>
      <c r="C50" s="2"/>
      <c r="D50" s="2"/>
      <c r="F50" s="4"/>
    </row>
    <row r="51" spans="2:6" ht="12.75">
      <c r="B51" s="2"/>
      <c r="C51" s="2"/>
      <c r="D51" s="2"/>
      <c r="F51" s="4"/>
    </row>
    <row r="52" spans="2:6" ht="12.75">
      <c r="B52" s="2"/>
      <c r="C52" s="2"/>
      <c r="D52" s="2"/>
      <c r="F52" s="4"/>
    </row>
    <row r="53" spans="2:6" ht="12.75">
      <c r="B53" s="2"/>
      <c r="C53" s="2"/>
      <c r="D53" s="2"/>
      <c r="F53" s="4"/>
    </row>
    <row r="54" spans="2:6" ht="12.75">
      <c r="B54" s="2"/>
      <c r="C54" s="2"/>
      <c r="D54" s="2"/>
      <c r="F54" s="4"/>
    </row>
    <row r="55" spans="2:6" ht="12.75">
      <c r="B55" s="2"/>
      <c r="C55" s="2"/>
      <c r="D55" s="2"/>
      <c r="F55" s="4"/>
    </row>
    <row r="56" spans="2:6" ht="12.75">
      <c r="B56" s="2"/>
      <c r="C56" s="2"/>
      <c r="D56" s="2"/>
      <c r="F56" s="4"/>
    </row>
    <row r="57" spans="2:6" ht="12.75">
      <c r="B57" s="2"/>
      <c r="C57" s="2"/>
      <c r="D57" s="2"/>
      <c r="F57" s="4"/>
    </row>
    <row r="58" spans="2:6" ht="12.75">
      <c r="B58" s="2"/>
      <c r="C58" s="2"/>
      <c r="D58" s="2"/>
      <c r="F58" s="4"/>
    </row>
    <row r="59" spans="2:6" ht="12.75">
      <c r="B59" s="2"/>
      <c r="C59" s="2"/>
      <c r="D59" s="2"/>
      <c r="F59" s="4"/>
    </row>
    <row r="60" spans="2:6" ht="12.75">
      <c r="B60" s="2"/>
      <c r="C60" s="2"/>
      <c r="D60" s="2"/>
      <c r="F60" s="4"/>
    </row>
    <row r="61" spans="2:6" ht="12.75">
      <c r="B61" s="2"/>
      <c r="C61" s="2"/>
      <c r="D61" s="2"/>
      <c r="F61" s="4"/>
    </row>
    <row r="62" spans="2:6" ht="12.75">
      <c r="B62" s="2"/>
      <c r="C62" s="2"/>
      <c r="D62" s="2"/>
      <c r="F62" s="4"/>
    </row>
    <row r="63" spans="2:6" ht="12.75">
      <c r="B63" s="2"/>
      <c r="C63" s="2"/>
      <c r="D63" s="2"/>
      <c r="F63" s="4"/>
    </row>
    <row r="64" spans="2:6" ht="12.75">
      <c r="B64" s="2"/>
      <c r="C64" s="2"/>
      <c r="D64" s="2"/>
      <c r="F64" s="4"/>
    </row>
    <row r="65" spans="2:6" ht="12.75">
      <c r="B65" s="2"/>
      <c r="C65" s="2"/>
      <c r="D65" s="2"/>
      <c r="F65" s="4"/>
    </row>
    <row r="66" spans="2:6" ht="12.75">
      <c r="B66" s="2"/>
      <c r="C66" s="2"/>
      <c r="D66" s="2"/>
      <c r="F66" s="4"/>
    </row>
    <row r="67" spans="2:6" ht="12.75">
      <c r="B67" s="2"/>
      <c r="C67" s="2"/>
      <c r="D67" s="2"/>
      <c r="F67" s="4"/>
    </row>
    <row r="68" spans="2:6" ht="12.75">
      <c r="B68" s="2"/>
      <c r="C68" s="2"/>
      <c r="D68" s="2"/>
      <c r="F68" s="4"/>
    </row>
    <row r="69" spans="2:6" ht="12.75">
      <c r="B69" s="2"/>
      <c r="C69" s="2"/>
      <c r="D69" s="2"/>
      <c r="F69" s="4"/>
    </row>
    <row r="70" spans="2:6" ht="12.75">
      <c r="B70" s="2"/>
      <c r="C70" s="2"/>
      <c r="D70" s="2"/>
      <c r="F70" s="4"/>
    </row>
    <row r="71" spans="2:6" ht="12.75">
      <c r="B71" s="2"/>
      <c r="C71" s="2"/>
      <c r="D71" s="2"/>
      <c r="F71" s="4"/>
    </row>
    <row r="72" spans="2:6" ht="12.75">
      <c r="B72" s="2"/>
      <c r="C72" s="2"/>
      <c r="D72" s="2"/>
      <c r="F72" s="4"/>
    </row>
    <row r="73" spans="2:6" ht="12.75">
      <c r="B73" s="2"/>
      <c r="C73" s="2"/>
      <c r="D73" s="2"/>
      <c r="F73" s="4"/>
    </row>
    <row r="74" spans="2:6" ht="12.75">
      <c r="B74" s="2"/>
      <c r="C74" s="2"/>
      <c r="D74" s="2"/>
      <c r="F74" s="4"/>
    </row>
    <row r="75" spans="2:6" ht="12.75">
      <c r="B75" s="2"/>
      <c r="C75" s="2"/>
      <c r="D75" s="2"/>
      <c r="F75" s="4"/>
    </row>
    <row r="76" spans="2:6" ht="12.75">
      <c r="B76" s="2"/>
      <c r="C76" s="2"/>
      <c r="D76" s="2"/>
      <c r="F76" s="4"/>
    </row>
    <row r="77" spans="2:6" ht="12.75">
      <c r="B77" s="2"/>
      <c r="C77" s="2"/>
      <c r="D77" s="2"/>
      <c r="F77" s="4"/>
    </row>
    <row r="78" spans="2:6" ht="12.75">
      <c r="B78" s="2"/>
      <c r="C78" s="2"/>
      <c r="D78" s="2"/>
      <c r="F78" s="4"/>
    </row>
    <row r="79" spans="2:6" ht="12.75">
      <c r="B79" s="2"/>
      <c r="C79" s="2"/>
      <c r="D79" s="2"/>
      <c r="F79" s="4"/>
    </row>
    <row r="80" spans="2:6" ht="12.75">
      <c r="B80" s="2"/>
      <c r="C80" s="2"/>
      <c r="D80" s="2"/>
      <c r="F80" s="4"/>
    </row>
    <row r="81" spans="2:6" ht="12.75">
      <c r="B81" s="2"/>
      <c r="C81" s="2"/>
      <c r="D81" s="2"/>
      <c r="F81" s="4"/>
    </row>
    <row r="82" spans="2:6" ht="12.75">
      <c r="B82" s="2"/>
      <c r="C82" s="2"/>
      <c r="D82" s="2"/>
      <c r="F82" s="4"/>
    </row>
    <row r="83" spans="2:6" ht="12.75">
      <c r="B83" s="2"/>
      <c r="C83" s="2"/>
      <c r="D83" s="2"/>
      <c r="F83" s="4"/>
    </row>
    <row r="84" spans="2:6" ht="12.75">
      <c r="B84" s="2"/>
      <c r="C84" s="2"/>
      <c r="D84" s="2"/>
      <c r="F84" s="4"/>
    </row>
    <row r="85" spans="2:6" ht="12.75">
      <c r="B85" s="2"/>
      <c r="C85" s="2"/>
      <c r="D85" s="2"/>
      <c r="F85" s="4"/>
    </row>
    <row r="86" spans="2:6" ht="12.75">
      <c r="B86" s="2"/>
      <c r="C86" s="2"/>
      <c r="D86" s="2"/>
      <c r="F86" s="4"/>
    </row>
    <row r="87" spans="2:6" ht="12.75">
      <c r="B87" s="2"/>
      <c r="C87" s="2"/>
      <c r="D87" s="2"/>
      <c r="F87" s="4"/>
    </row>
    <row r="88" spans="2:6" ht="12.75">
      <c r="B88" s="2"/>
      <c r="C88" s="2"/>
      <c r="D88" s="2"/>
      <c r="F88" s="4"/>
    </row>
    <row r="89" spans="2:6" ht="12.75">
      <c r="B89" s="2"/>
      <c r="C89" s="2"/>
      <c r="D89" s="2"/>
      <c r="F89" s="4"/>
    </row>
    <row r="90" spans="2:6" ht="12.75">
      <c r="B90" s="2"/>
      <c r="C90" s="2"/>
      <c r="D90" s="2"/>
      <c r="F90" s="4"/>
    </row>
    <row r="91" spans="2:6" ht="12.75">
      <c r="B91" s="2"/>
      <c r="C91" s="2"/>
      <c r="D91" s="2"/>
      <c r="F91" s="4"/>
    </row>
    <row r="92" spans="2:6" ht="12.75">
      <c r="B92" s="2"/>
      <c r="C92" s="2"/>
      <c r="D92" s="2"/>
      <c r="F92" s="4"/>
    </row>
    <row r="93" spans="2:6" ht="12.75">
      <c r="B93" s="2"/>
      <c r="C93" s="2"/>
      <c r="D93" s="2"/>
      <c r="F93" s="4"/>
    </row>
    <row r="94" spans="2:6" ht="12.75">
      <c r="B94" s="2"/>
      <c r="C94" s="2"/>
      <c r="D94" s="2"/>
      <c r="F94" s="4"/>
    </row>
    <row r="95" spans="2:6" ht="12.75">
      <c r="B95" s="2"/>
      <c r="C95" s="2"/>
      <c r="D95" s="2"/>
      <c r="F95" s="4"/>
    </row>
    <row r="96" spans="2:6" ht="12.75">
      <c r="B96" s="2"/>
      <c r="C96" s="2"/>
      <c r="D96" s="2"/>
      <c r="F96" s="4"/>
    </row>
    <row r="97" spans="2:6" ht="12.75">
      <c r="B97" s="2"/>
      <c r="C97" s="2"/>
      <c r="D97" s="2"/>
      <c r="F97" s="4"/>
    </row>
    <row r="98" spans="2:6" ht="12.75">
      <c r="B98" s="2"/>
      <c r="C98" s="2"/>
      <c r="D98" s="2"/>
      <c r="F98" s="4"/>
    </row>
    <row r="99" spans="2:6" ht="12.75">
      <c r="B99" s="2"/>
      <c r="C99" s="2"/>
      <c r="D99" s="2"/>
      <c r="F99" s="4"/>
    </row>
    <row r="100" spans="2:6" ht="12.75">
      <c r="B100" s="2"/>
      <c r="C100" s="2"/>
      <c r="D100" s="2"/>
      <c r="F100" s="4"/>
    </row>
    <row r="101" spans="2:6" ht="12.75">
      <c r="B101" s="2"/>
      <c r="C101" s="2"/>
      <c r="D101" s="2"/>
      <c r="F101" s="4"/>
    </row>
    <row r="102" spans="2:6" ht="12.75">
      <c r="B102" s="2"/>
      <c r="C102" s="2"/>
      <c r="D102" s="2"/>
      <c r="F102" s="4"/>
    </row>
    <row r="103" spans="2:6" ht="12.75">
      <c r="B103" s="2"/>
      <c r="C103" s="2"/>
      <c r="D103" s="2"/>
      <c r="F103" s="4"/>
    </row>
    <row r="104" spans="2:6" ht="12.75">
      <c r="B104" s="2"/>
      <c r="C104" s="2"/>
      <c r="D104" s="2"/>
      <c r="F104" s="4"/>
    </row>
    <row r="105" spans="2:6" ht="12.75">
      <c r="B105" s="2"/>
      <c r="C105" s="2"/>
      <c r="D105" s="2"/>
      <c r="F105" s="4"/>
    </row>
    <row r="106" spans="2:6" ht="12.75">
      <c r="B106" s="2"/>
      <c r="C106" s="2"/>
      <c r="D106" s="2"/>
      <c r="F106" s="4"/>
    </row>
    <row r="107" spans="2:6" ht="12.75">
      <c r="B107" s="2"/>
      <c r="C107" s="2"/>
      <c r="D107" s="2"/>
      <c r="F107" s="4"/>
    </row>
    <row r="108" spans="2:6" ht="12.75">
      <c r="B108" s="2"/>
      <c r="C108" s="2"/>
      <c r="D108" s="2"/>
      <c r="F108" s="4"/>
    </row>
    <row r="109" spans="2:6" ht="12.75">
      <c r="B109" s="2"/>
      <c r="C109" s="2"/>
      <c r="D109" s="2"/>
      <c r="F109" s="4"/>
    </row>
    <row r="110" spans="2:6" ht="12.75">
      <c r="B110" s="2"/>
      <c r="C110" s="2"/>
      <c r="D110" s="2"/>
      <c r="F110" s="4"/>
    </row>
    <row r="111" spans="2:6" ht="12.75">
      <c r="B111" s="2"/>
      <c r="C111" s="2"/>
      <c r="D111" s="2"/>
      <c r="F111" s="4"/>
    </row>
    <row r="112" spans="2:6" ht="12.75">
      <c r="B112" s="2"/>
      <c r="C112" s="2"/>
      <c r="D112" s="2"/>
      <c r="F112" s="4"/>
    </row>
    <row r="113" spans="2:6" ht="12.75">
      <c r="B113" s="2"/>
      <c r="C113" s="2"/>
      <c r="D113" s="2"/>
      <c r="F113" s="4"/>
    </row>
    <row r="114" spans="2:6" ht="12.75">
      <c r="B114" s="2"/>
      <c r="C114" s="2"/>
      <c r="D114" s="2"/>
      <c r="F114" s="4"/>
    </row>
    <row r="115" spans="2:6" ht="12.75">
      <c r="B115" s="2"/>
      <c r="C115" s="2"/>
      <c r="D115" s="2"/>
      <c r="F115" s="4"/>
    </row>
    <row r="116" spans="2:6" ht="12.75">
      <c r="B116" s="2"/>
      <c r="C116" s="2"/>
      <c r="D116" s="2"/>
      <c r="F116" s="4"/>
    </row>
    <row r="117" spans="2:6" ht="12.75">
      <c r="B117" s="2"/>
      <c r="C117" s="2"/>
      <c r="D117" s="2"/>
      <c r="F117" s="4"/>
    </row>
    <row r="118" spans="2:6" ht="12.75">
      <c r="B118" s="2"/>
      <c r="C118" s="2"/>
      <c r="D118" s="2"/>
      <c r="F118" s="4"/>
    </row>
    <row r="119" spans="2:6" ht="12.75">
      <c r="B119" s="2"/>
      <c r="C119" s="2"/>
      <c r="D119" s="2"/>
      <c r="F119" s="4"/>
    </row>
    <row r="120" spans="2:6" ht="12.75">
      <c r="B120" s="2"/>
      <c r="C120" s="2"/>
      <c r="D120" s="2"/>
      <c r="F120" s="4"/>
    </row>
    <row r="121" spans="2:6" ht="12.75">
      <c r="B121" s="2"/>
      <c r="C121" s="2"/>
      <c r="D121" s="2"/>
      <c r="F121" s="4"/>
    </row>
    <row r="122" spans="2:6" ht="12.75">
      <c r="B122" s="2"/>
      <c r="C122" s="2"/>
      <c r="D122" s="2"/>
      <c r="F122" s="4"/>
    </row>
    <row r="123" spans="2:6" ht="12.75">
      <c r="B123" s="2"/>
      <c r="C123" s="2"/>
      <c r="D123" s="2"/>
      <c r="F123" s="4"/>
    </row>
    <row r="124" spans="2:6" ht="12.75">
      <c r="B124" s="2"/>
      <c r="C124" s="2"/>
      <c r="D124" s="2"/>
      <c r="F124" s="4"/>
    </row>
    <row r="125" spans="2:6" ht="12.75">
      <c r="B125" s="2"/>
      <c r="C125" s="2"/>
      <c r="D125" s="2"/>
      <c r="F125" s="4"/>
    </row>
    <row r="126" spans="2:6" ht="12.75">
      <c r="B126" s="2"/>
      <c r="C126" s="2"/>
      <c r="D126" s="2"/>
      <c r="F126" s="4"/>
    </row>
    <row r="127" spans="2:6" ht="12.75">
      <c r="B127" s="2"/>
      <c r="C127" s="2"/>
      <c r="D127" s="2"/>
      <c r="F127" s="4"/>
    </row>
    <row r="128" spans="2:6" ht="12.75">
      <c r="B128" s="2"/>
      <c r="C128" s="2"/>
      <c r="D128" s="2"/>
      <c r="F128" s="4"/>
    </row>
    <row r="129" spans="2:6" ht="12.75">
      <c r="B129" s="2"/>
      <c r="C129" s="2"/>
      <c r="D129" s="2"/>
      <c r="F129" s="4"/>
    </row>
    <row r="130" spans="2:6" ht="12.75">
      <c r="B130" s="2"/>
      <c r="C130" s="2"/>
      <c r="D130" s="2"/>
      <c r="F130" s="4"/>
    </row>
    <row r="131" spans="2:6" ht="12.75">
      <c r="B131" s="2"/>
      <c r="C131" s="2"/>
      <c r="D131" s="2"/>
      <c r="F131" s="4"/>
    </row>
    <row r="132" spans="2:6" ht="12.75">
      <c r="B132" s="2"/>
      <c r="C132" s="2"/>
      <c r="D132" s="2"/>
      <c r="F132" s="4"/>
    </row>
    <row r="133" spans="2:6" ht="12.75">
      <c r="B133" s="2"/>
      <c r="C133" s="2"/>
      <c r="D133" s="2"/>
      <c r="F133" s="4"/>
    </row>
    <row r="134" spans="2:6" ht="12.75">
      <c r="B134" s="2"/>
      <c r="C134" s="2"/>
      <c r="D134" s="2"/>
      <c r="F134" s="4"/>
    </row>
    <row r="135" spans="2:6" ht="12.75">
      <c r="B135" s="2"/>
      <c r="C135" s="2"/>
      <c r="D135" s="2"/>
      <c r="F135" s="4"/>
    </row>
    <row r="136" spans="2:6" ht="12.75">
      <c r="B136" s="2"/>
      <c r="C136" s="2"/>
      <c r="D136" s="2"/>
      <c r="F136" s="4"/>
    </row>
    <row r="137" spans="2:6" ht="12.75">
      <c r="B137" s="2"/>
      <c r="C137" s="2"/>
      <c r="D137" s="2"/>
      <c r="F137" s="4"/>
    </row>
    <row r="138" spans="2:6" ht="12.75">
      <c r="B138" s="2"/>
      <c r="C138" s="2"/>
      <c r="D138" s="2"/>
      <c r="F138" s="4"/>
    </row>
    <row r="139" spans="2:6" ht="12.75">
      <c r="B139" s="2"/>
      <c r="C139" s="2"/>
      <c r="D139" s="2"/>
      <c r="F139" s="4"/>
    </row>
    <row r="140" spans="2:6" ht="12.75">
      <c r="B140" s="2"/>
      <c r="C140" s="2"/>
      <c r="D140" s="2"/>
      <c r="F140" s="4"/>
    </row>
    <row r="141" spans="2:6" ht="12.75">
      <c r="B141" s="2"/>
      <c r="C141" s="2"/>
      <c r="D141" s="2"/>
      <c r="F141" s="4"/>
    </row>
    <row r="142" spans="2:6" ht="12.75">
      <c r="B142" s="2"/>
      <c r="C142" s="2"/>
      <c r="D142" s="2"/>
      <c r="F142" s="4"/>
    </row>
    <row r="143" spans="2:6" ht="12.75">
      <c r="B143" s="2"/>
      <c r="C143" s="2"/>
      <c r="D143" s="2"/>
      <c r="F143" s="4"/>
    </row>
    <row r="144" spans="2:6" ht="12.75">
      <c r="B144" s="2"/>
      <c r="C144" s="2"/>
      <c r="D144" s="2"/>
      <c r="F144" s="4"/>
    </row>
    <row r="145" spans="2:6" ht="12.75">
      <c r="B145" s="2"/>
      <c r="C145" s="2"/>
      <c r="D145" s="2"/>
      <c r="F145" s="4"/>
    </row>
    <row r="146" spans="2:6" ht="12.75">
      <c r="B146" s="2"/>
      <c r="C146" s="2"/>
      <c r="D146" s="2"/>
      <c r="F146" s="4"/>
    </row>
    <row r="147" spans="2:6" ht="12.75">
      <c r="B147" s="2"/>
      <c r="C147" s="2"/>
      <c r="D147" s="2"/>
      <c r="F147" s="4"/>
    </row>
    <row r="148" spans="2:6" ht="12.75">
      <c r="B148" s="2"/>
      <c r="C148" s="2"/>
      <c r="D148" s="2"/>
      <c r="F148" s="4"/>
    </row>
    <row r="149" spans="2:6" ht="12.75">
      <c r="B149" s="2"/>
      <c r="C149" s="2"/>
      <c r="D149" s="2"/>
      <c r="F149" s="4"/>
    </row>
    <row r="150" spans="2:6" ht="12.75">
      <c r="B150" s="2"/>
      <c r="C150" s="2"/>
      <c r="D150" s="2"/>
      <c r="F150" s="4"/>
    </row>
    <row r="151" spans="2:6" ht="12.75">
      <c r="B151" s="2"/>
      <c r="C151" s="2"/>
      <c r="D151" s="2"/>
      <c r="F151" s="4"/>
    </row>
    <row r="152" spans="2:6" ht="12.75">
      <c r="B152" s="2"/>
      <c r="C152" s="2"/>
      <c r="D152" s="2"/>
      <c r="F152" s="4"/>
    </row>
    <row r="153" spans="2:6" ht="12.75">
      <c r="B153" s="2"/>
      <c r="C153" s="2"/>
      <c r="D153" s="2"/>
      <c r="F153" s="4"/>
    </row>
    <row r="154" spans="2:6" ht="12.75">
      <c r="B154" s="2"/>
      <c r="C154" s="2"/>
      <c r="D154" s="2"/>
      <c r="F154" s="4"/>
    </row>
    <row r="155" spans="2:6" ht="12.75">
      <c r="B155" s="2"/>
      <c r="C155" s="2"/>
      <c r="D155" s="2"/>
      <c r="F155" s="4"/>
    </row>
    <row r="156" spans="2:6" ht="12.75">
      <c r="B156" s="2"/>
      <c r="C156" s="2"/>
      <c r="D156" s="2"/>
      <c r="F156" s="4"/>
    </row>
    <row r="157" spans="2:6" ht="12.75">
      <c r="B157" s="2"/>
      <c r="C157" s="2"/>
      <c r="D157" s="2"/>
      <c r="F157" s="4"/>
    </row>
    <row r="158" spans="2:6" ht="12.75">
      <c r="B158" s="2"/>
      <c r="C158" s="2"/>
      <c r="D158" s="2"/>
      <c r="F158" s="4"/>
    </row>
    <row r="159" spans="2:6" ht="12.75">
      <c r="B159" s="2"/>
      <c r="C159" s="2"/>
      <c r="D159" s="2"/>
      <c r="F159" s="4"/>
    </row>
    <row r="160" spans="2:6" ht="12.75">
      <c r="B160" s="2"/>
      <c r="C160" s="2"/>
      <c r="D160" s="2"/>
      <c r="F160" s="4"/>
    </row>
    <row r="161" spans="2:6" ht="12.75">
      <c r="B161" s="2"/>
      <c r="C161" s="2"/>
      <c r="D161" s="2"/>
      <c r="F161" s="4"/>
    </row>
    <row r="162" spans="2:6" ht="12.75">
      <c r="B162" s="2"/>
      <c r="C162" s="2"/>
      <c r="D162" s="2"/>
      <c r="F162" s="4"/>
    </row>
    <row r="163" spans="2:6" ht="12.75">
      <c r="B163" s="2"/>
      <c r="C163" s="2"/>
      <c r="D163" s="2"/>
      <c r="F163" s="4"/>
    </row>
    <row r="164" spans="2:6" ht="12.75">
      <c r="B164" s="2"/>
      <c r="C164" s="2"/>
      <c r="D164" s="2"/>
      <c r="F164" s="4"/>
    </row>
    <row r="165" spans="2:6" ht="12.75">
      <c r="B165" s="2"/>
      <c r="C165" s="2"/>
      <c r="D165" s="2"/>
      <c r="F165" s="4"/>
    </row>
    <row r="166" spans="2:6" ht="12.75">
      <c r="B166" s="2"/>
      <c r="C166" s="2"/>
      <c r="D166" s="2"/>
      <c r="F166" s="4"/>
    </row>
    <row r="167" spans="2:6" ht="12.75">
      <c r="B167" s="2"/>
      <c r="C167" s="2"/>
      <c r="D167" s="2"/>
      <c r="F167" s="4"/>
    </row>
    <row r="168" spans="2:6" ht="12.75">
      <c r="B168" s="2"/>
      <c r="C168" s="2"/>
      <c r="D168" s="2"/>
      <c r="F168" s="4"/>
    </row>
    <row r="169" spans="2:6" ht="12.75">
      <c r="B169" s="2"/>
      <c r="C169" s="2"/>
      <c r="D169" s="2"/>
      <c r="F169" s="4"/>
    </row>
    <row r="170" spans="2:6" ht="12.75">
      <c r="B170" s="2"/>
      <c r="C170" s="2"/>
      <c r="D170" s="2"/>
      <c r="F170" s="4"/>
    </row>
    <row r="171" spans="2:6" ht="12.75">
      <c r="B171" s="2"/>
      <c r="C171" s="2"/>
      <c r="D171" s="2"/>
      <c r="F171" s="4"/>
    </row>
    <row r="172" spans="2:6" ht="12.75">
      <c r="B172" s="2"/>
      <c r="C172" s="2"/>
      <c r="D172" s="2"/>
      <c r="F172" s="4"/>
    </row>
    <row r="173" spans="2:6" ht="12.75">
      <c r="B173" s="2"/>
      <c r="C173" s="2"/>
      <c r="D173" s="2"/>
      <c r="F173" s="4"/>
    </row>
    <row r="174" spans="2:6" ht="12.75">
      <c r="B174" s="2"/>
      <c r="C174" s="2"/>
      <c r="D174" s="2"/>
      <c r="F174" s="4"/>
    </row>
    <row r="175" spans="2:6" ht="12.75">
      <c r="B175" s="2"/>
      <c r="C175" s="2"/>
      <c r="D175" s="2"/>
      <c r="F175" s="4"/>
    </row>
    <row r="176" spans="2:6" ht="12.75">
      <c r="B176" s="2"/>
      <c r="C176" s="2"/>
      <c r="D176" s="2"/>
      <c r="F176" s="4"/>
    </row>
    <row r="177" spans="2:6" ht="12.75">
      <c r="B177" s="2"/>
      <c r="C177" s="2"/>
      <c r="D177" s="2"/>
      <c r="F177" s="4"/>
    </row>
    <row r="178" spans="2:6" ht="12.75">
      <c r="B178" s="2"/>
      <c r="C178" s="2"/>
      <c r="D178" s="2"/>
      <c r="F178" s="4"/>
    </row>
    <row r="179" spans="2:6" ht="12.75">
      <c r="B179" s="2"/>
      <c r="C179" s="2"/>
      <c r="D179" s="2"/>
      <c r="F179" s="4"/>
    </row>
    <row r="180" spans="2:6" ht="12.75">
      <c r="B180" s="2"/>
      <c r="C180" s="2"/>
      <c r="D180" s="2"/>
      <c r="F180" s="4"/>
    </row>
    <row r="181" spans="2:6" ht="12.75">
      <c r="B181" s="2"/>
      <c r="C181" s="2"/>
      <c r="D181" s="2"/>
      <c r="F181" s="4"/>
    </row>
    <row r="182" spans="2:6" ht="12.75">
      <c r="B182" s="2"/>
      <c r="C182" s="2"/>
      <c r="D182" s="2"/>
      <c r="F182" s="4"/>
    </row>
    <row r="183" spans="2:6" ht="12.75">
      <c r="B183" s="2"/>
      <c r="C183" s="2"/>
      <c r="D183" s="2"/>
      <c r="F183" s="4"/>
    </row>
    <row r="184" spans="2:6" ht="12.75">
      <c r="B184" s="2"/>
      <c r="C184" s="2"/>
      <c r="D184" s="2"/>
      <c r="F184" s="4"/>
    </row>
    <row r="185" spans="2:6" ht="12.75">
      <c r="B185" s="2"/>
      <c r="C185" s="2"/>
      <c r="D185" s="2"/>
      <c r="F185" s="4"/>
    </row>
    <row r="186" spans="2:6" ht="12.75">
      <c r="B186" s="2"/>
      <c r="C186" s="2"/>
      <c r="D186" s="2"/>
      <c r="F186" s="4"/>
    </row>
    <row r="187" spans="2:6" ht="12.75">
      <c r="B187" s="2"/>
      <c r="C187" s="2"/>
      <c r="D187" s="2"/>
      <c r="F187" s="4"/>
    </row>
    <row r="188" spans="2:6" ht="12.75">
      <c r="B188" s="2"/>
      <c r="C188" s="2"/>
      <c r="D188" s="2"/>
      <c r="F188" s="4"/>
    </row>
    <row r="189" spans="2:6" ht="12.75">
      <c r="B189" s="2"/>
      <c r="C189" s="2"/>
      <c r="D189" s="2"/>
      <c r="F189" s="4"/>
    </row>
    <row r="190" spans="2:6" ht="12.75">
      <c r="B190" s="2"/>
      <c r="C190" s="2"/>
      <c r="D190" s="2"/>
      <c r="F190" s="4"/>
    </row>
    <row r="191" spans="2:6" ht="12.75">
      <c r="B191" s="2"/>
      <c r="C191" s="2"/>
      <c r="D191" s="2"/>
      <c r="F191" s="4"/>
    </row>
    <row r="192" spans="2:6" ht="12.75">
      <c r="B192" s="2"/>
      <c r="C192" s="2"/>
      <c r="D192" s="2"/>
      <c r="F192" s="4"/>
    </row>
    <row r="193" spans="2:6" ht="12.75">
      <c r="B193" s="2"/>
      <c r="C193" s="2"/>
      <c r="D193" s="2"/>
      <c r="F193" s="4"/>
    </row>
    <row r="194" spans="2:6" ht="12.75">
      <c r="B194" s="2"/>
      <c r="C194" s="2"/>
      <c r="D194" s="2"/>
      <c r="F194" s="4"/>
    </row>
    <row r="195" spans="2:6" ht="12.75">
      <c r="B195" s="2"/>
      <c r="C195" s="2"/>
      <c r="D195" s="2"/>
      <c r="F195" s="4"/>
    </row>
    <row r="196" spans="2:6" ht="12.75">
      <c r="B196" s="2"/>
      <c r="C196" s="2"/>
      <c r="D196" s="2"/>
      <c r="F196" s="4"/>
    </row>
    <row r="197" spans="2:6" ht="12.75">
      <c r="B197" s="2"/>
      <c r="C197" s="2"/>
      <c r="D197" s="2"/>
      <c r="F197" s="4"/>
    </row>
    <row r="198" spans="2:6" ht="12.75">
      <c r="B198" s="2"/>
      <c r="C198" s="2"/>
      <c r="D198" s="2"/>
      <c r="F198" s="4"/>
    </row>
    <row r="199" spans="2:6" ht="12.75">
      <c r="B199" s="2"/>
      <c r="C199" s="2"/>
      <c r="D199" s="2"/>
      <c r="F199" s="4"/>
    </row>
    <row r="200" spans="2:6" ht="12.75">
      <c r="B200" s="2"/>
      <c r="C200" s="2"/>
      <c r="D200" s="2"/>
      <c r="F200" s="4"/>
    </row>
    <row r="201" spans="2:6" ht="12.75">
      <c r="B201" s="2"/>
      <c r="C201" s="2"/>
      <c r="D201" s="2"/>
      <c r="F201" s="4"/>
    </row>
    <row r="202" spans="2:6" ht="12.75">
      <c r="B202" s="2"/>
      <c r="C202" s="2"/>
      <c r="D202" s="2"/>
      <c r="F202" s="4"/>
    </row>
    <row r="203" spans="2:6" ht="12.75">
      <c r="B203" s="2"/>
      <c r="C203" s="2"/>
      <c r="D203" s="2"/>
      <c r="F203" s="4"/>
    </row>
    <row r="204" spans="2:6" ht="12.75">
      <c r="B204" s="2"/>
      <c r="C204" s="2"/>
      <c r="D204" s="2"/>
      <c r="F204" s="4"/>
    </row>
    <row r="205" spans="2:6" ht="12.75">
      <c r="B205" s="2"/>
      <c r="C205" s="2"/>
      <c r="D205" s="2"/>
      <c r="F205" s="4"/>
    </row>
    <row r="206" spans="2:6" ht="12.75">
      <c r="B206" s="2"/>
      <c r="C206" s="2"/>
      <c r="D206" s="2"/>
      <c r="F206" s="4"/>
    </row>
    <row r="207" spans="2:6" ht="12.75">
      <c r="B207" s="2"/>
      <c r="C207" s="2"/>
      <c r="D207" s="2"/>
      <c r="F207" s="4"/>
    </row>
    <row r="208" spans="2:6" ht="12.75">
      <c r="B208" s="2"/>
      <c r="C208" s="2"/>
      <c r="D208" s="2"/>
      <c r="F208" s="4"/>
    </row>
    <row r="209" spans="2:6" ht="12.75">
      <c r="B209" s="2"/>
      <c r="C209" s="2"/>
      <c r="D209" s="2"/>
      <c r="F209" s="4"/>
    </row>
    <row r="210" spans="2:6" ht="12.75">
      <c r="B210" s="2"/>
      <c r="C210" s="2"/>
      <c r="D210" s="2"/>
      <c r="F210" s="4"/>
    </row>
    <row r="211" spans="2:6" ht="12.75">
      <c r="B211" s="2"/>
      <c r="C211" s="2"/>
      <c r="D211" s="2"/>
      <c r="F211" s="4"/>
    </row>
    <row r="212" spans="2:6" ht="12.75">
      <c r="B212" s="2"/>
      <c r="C212" s="2"/>
      <c r="D212" s="2"/>
      <c r="F212" s="4"/>
    </row>
    <row r="213" spans="2:6" ht="12.75">
      <c r="B213" s="2"/>
      <c r="C213" s="2"/>
      <c r="D213" s="2"/>
      <c r="F213" s="4"/>
    </row>
    <row r="214" spans="2:6" ht="12.75">
      <c r="B214" s="2"/>
      <c r="C214" s="2"/>
      <c r="D214" s="2"/>
      <c r="F214" s="4"/>
    </row>
    <row r="215" spans="2:6" ht="12.75">
      <c r="B215" s="2"/>
      <c r="C215" s="2"/>
      <c r="D215" s="2"/>
      <c r="F215" s="4"/>
    </row>
    <row r="216" spans="2:6" ht="12.75">
      <c r="B216" s="2"/>
      <c r="C216" s="2"/>
      <c r="D216" s="2"/>
      <c r="F216" s="4"/>
    </row>
    <row r="217" spans="2:6" ht="12.75">
      <c r="B217" s="2"/>
      <c r="C217" s="2"/>
      <c r="D217" s="2"/>
      <c r="F217" s="4"/>
    </row>
    <row r="218" spans="2:6" ht="12.75">
      <c r="B218" s="2"/>
      <c r="C218" s="2"/>
      <c r="D218" s="2"/>
      <c r="F218" s="4"/>
    </row>
    <row r="219" spans="2:6" ht="12.75">
      <c r="B219" s="2"/>
      <c r="C219" s="2"/>
      <c r="D219" s="2"/>
      <c r="F219" s="4"/>
    </row>
    <row r="220" spans="2:6" ht="12.75">
      <c r="B220" s="2"/>
      <c r="C220" s="2"/>
      <c r="D220" s="2"/>
      <c r="F220" s="4"/>
    </row>
    <row r="221" spans="1:6" ht="12.75">
      <c r="A221" t="s">
        <v>24</v>
      </c>
      <c r="B221" t="s">
        <v>17</v>
      </c>
      <c r="C221" t="s">
        <v>18</v>
      </c>
      <c r="D221" t="s">
        <v>19</v>
      </c>
      <c r="E221" t="s">
        <v>20</v>
      </c>
      <c r="F221" t="s">
        <v>21</v>
      </c>
    </row>
    <row r="222" spans="1:6" ht="12.75">
      <c r="A222">
        <v>1</v>
      </c>
      <c r="B222">
        <f>+(F8+F4+F7)/2</f>
        <v>13.791666666666668</v>
      </c>
      <c r="C222">
        <f>((B222-F8)*(B222-F4)*(B222-F7)/B222)^0.5</f>
        <v>2.586475406195592</v>
      </c>
      <c r="D222">
        <f>2*ATAN(C222/(B222-F8))</f>
        <v>1.284307021770281</v>
      </c>
      <c r="E222">
        <f>+F7*COS(2*PI()/4-D222)</f>
        <v>8.15355580429277</v>
      </c>
      <c r="F222">
        <f>+F7*SIN(2*PI()/4-D222)</f>
        <v>2.401984126984127</v>
      </c>
    </row>
    <row r="223" spans="1:6" ht="12.75">
      <c r="A223">
        <v>2</v>
      </c>
      <c r="D223">
        <f>2*ATAN(C222/(B222-F7))</f>
        <v>0.9092672205873867</v>
      </c>
      <c r="E223" s="3">
        <f>+F5*COS(2*PI()/4-D223)</f>
        <v>4.339795831317119</v>
      </c>
      <c r="F223" s="3">
        <f>+F5*SIN(2*PI()/4-D223)</f>
        <v>3.3787826420890936</v>
      </c>
    </row>
    <row r="224" spans="1:6" ht="12.75">
      <c r="A224">
        <v>3</v>
      </c>
      <c r="B224">
        <f>(F8+F5+F6)/2</f>
        <v>14.166666666666668</v>
      </c>
      <c r="C224">
        <f>((B224-F8)*(B224-F5)*(B224-F6)/B224)^0.5</f>
        <v>1.9769918391399968</v>
      </c>
      <c r="D224">
        <f>2*ATAN(C224/(B224-F6))</f>
        <v>1.7407233861545985</v>
      </c>
      <c r="E224" s="3"/>
      <c r="F224" s="3"/>
    </row>
    <row r="225" spans="1:6" ht="12.75">
      <c r="A225">
        <v>4</v>
      </c>
      <c r="D225">
        <f>+D223+D224-2*PI()/4</f>
        <v>1.0791942799470888</v>
      </c>
      <c r="E225" s="3">
        <f>+F5*COS(D225)</f>
        <v>2.5962135220894673</v>
      </c>
      <c r="F225" s="3">
        <f>+F5*SIN(D225)</f>
        <v>4.848677690641007</v>
      </c>
    </row>
    <row r="227" spans="1:6" ht="12.75">
      <c r="A227" t="s">
        <v>23</v>
      </c>
      <c r="B227" t="s">
        <v>8</v>
      </c>
      <c r="C227" t="s">
        <v>9</v>
      </c>
      <c r="E227" t="s">
        <v>25</v>
      </c>
      <c r="F227" t="s">
        <v>26</v>
      </c>
    </row>
    <row r="228" spans="1:4" ht="12.75">
      <c r="A228" t="s">
        <v>7</v>
      </c>
      <c r="B228">
        <v>0</v>
      </c>
      <c r="C228">
        <v>0</v>
      </c>
      <c r="D228" t="s">
        <v>10</v>
      </c>
    </row>
    <row r="229" spans="2:4" ht="12.75">
      <c r="B229">
        <v>0</v>
      </c>
      <c r="C229" s="4">
        <f>+F4</f>
        <v>8.75</v>
      </c>
      <c r="D229" t="s">
        <v>12</v>
      </c>
    </row>
    <row r="230" spans="1:6" ht="12.75">
      <c r="A230" t="s">
        <v>13</v>
      </c>
      <c r="B230">
        <f>+B229</f>
        <v>0</v>
      </c>
      <c r="C230">
        <f>+C229</f>
        <v>8.75</v>
      </c>
      <c r="D230" t="s">
        <v>12</v>
      </c>
      <c r="E230">
        <f>(C230-C231)/(B230-B231)</f>
        <v>1.8675958850791006</v>
      </c>
      <c r="F230">
        <f>+C230-E230*B230</f>
        <v>8.75</v>
      </c>
    </row>
    <row r="231" spans="2:4" ht="12.75">
      <c r="B231">
        <f>+B230+E225</f>
        <v>2.5962135220894673</v>
      </c>
      <c r="C231">
        <f>+C230+F225</f>
        <v>13.598677690641008</v>
      </c>
      <c r="D231" t="s">
        <v>14</v>
      </c>
    </row>
    <row r="232" spans="1:6" ht="12.75">
      <c r="A232" t="s">
        <v>15</v>
      </c>
      <c r="B232">
        <f>+B231</f>
        <v>2.5962135220894673</v>
      </c>
      <c r="C232">
        <f>+C231</f>
        <v>13.598677690641008</v>
      </c>
      <c r="D232" t="s">
        <v>14</v>
      </c>
      <c r="E232">
        <f>(C232-C233)/(B232-B233)</f>
        <v>-2.014756873895081</v>
      </c>
      <c r="F232">
        <f>+C232-E232*B232</f>
        <v>18.82941673037012</v>
      </c>
    </row>
    <row r="233" spans="2:4" ht="12.75">
      <c r="B233">
        <f>+B228+E222</f>
        <v>8.15355580429277</v>
      </c>
      <c r="C233">
        <f>+C228+F222</f>
        <v>2.401984126984127</v>
      </c>
      <c r="D233" t="s">
        <v>11</v>
      </c>
    </row>
    <row r="234" spans="1:6" ht="12.75">
      <c r="A234" t="s">
        <v>16</v>
      </c>
      <c r="B234">
        <f>+B233</f>
        <v>8.15355580429277</v>
      </c>
      <c r="C234">
        <f>+C233</f>
        <v>2.401984126984127</v>
      </c>
      <c r="D234" t="s">
        <v>11</v>
      </c>
      <c r="E234">
        <f>(C234-C235)/(B234-B235)</f>
        <v>0.29459344912062846</v>
      </c>
      <c r="F234">
        <f>+C234-E234*B234</f>
        <v>0</v>
      </c>
    </row>
    <row r="235" spans="2:4" ht="12.75">
      <c r="B235">
        <f>+B228</f>
        <v>0</v>
      </c>
      <c r="C235">
        <f>+C228</f>
        <v>0</v>
      </c>
      <c r="D235" t="s">
        <v>10</v>
      </c>
    </row>
    <row r="236" spans="1:6" ht="12.75">
      <c r="A236" t="s">
        <v>22</v>
      </c>
      <c r="B236">
        <f>+B230</f>
        <v>0</v>
      </c>
      <c r="C236">
        <f>+C230</f>
        <v>8.75</v>
      </c>
      <c r="D236" t="s">
        <v>12</v>
      </c>
      <c r="E236">
        <f>(C236-C237)/(B236-B237)</f>
        <v>-0.7785579721762256</v>
      </c>
      <c r="F236">
        <f>+C236-E236*B236</f>
        <v>8.75</v>
      </c>
    </row>
    <row r="237" spans="2:4" ht="12.75">
      <c r="B237">
        <f>+B234</f>
        <v>8.15355580429277</v>
      </c>
      <c r="C237">
        <f>+C234</f>
        <v>2.401984126984127</v>
      </c>
      <c r="D237" t="s">
        <v>11</v>
      </c>
    </row>
    <row r="238" spans="1:4" ht="12.75">
      <c r="A238" t="s">
        <v>27</v>
      </c>
      <c r="B238">
        <f>+B231</f>
        <v>2.5962135220894673</v>
      </c>
      <c r="C238">
        <f>+C231</f>
        <v>13.598677690641008</v>
      </c>
      <c r="D238" t="s">
        <v>14</v>
      </c>
    </row>
    <row r="239" spans="2:4" ht="12.75">
      <c r="B239">
        <f>(C239-F232)*B15/(100*E232)</f>
        <v>1.6675985178770525</v>
      </c>
      <c r="C239">
        <f>+C229</f>
        <v>8.75</v>
      </c>
      <c r="D239" t="s">
        <v>33</v>
      </c>
    </row>
    <row r="240" spans="1:4" ht="12.75">
      <c r="A240" t="s">
        <v>29</v>
      </c>
      <c r="B240">
        <f>+B239</f>
        <v>1.6675985178770525</v>
      </c>
      <c r="C240">
        <f>+C239</f>
        <v>8.75</v>
      </c>
      <c r="D240" t="s">
        <v>33</v>
      </c>
    </row>
    <row r="241" spans="2:4" ht="12.75">
      <c r="B241">
        <f>(C241-F232)*B15/(100*E232)</f>
        <v>2.742997090647722</v>
      </c>
      <c r="C241" s="4">
        <f>+F16</f>
        <v>2.25</v>
      </c>
      <c r="D241" t="s">
        <v>34</v>
      </c>
    </row>
    <row r="242" spans="1:4" ht="12.75">
      <c r="A242" t="s">
        <v>30</v>
      </c>
      <c r="B242">
        <f>+B229</f>
        <v>0</v>
      </c>
      <c r="C242">
        <f>+C229</f>
        <v>8.75</v>
      </c>
      <c r="D242" t="s">
        <v>12</v>
      </c>
    </row>
    <row r="243" spans="2:4" ht="12.75">
      <c r="B243">
        <f>+B239</f>
        <v>1.6675985178770525</v>
      </c>
      <c r="C243">
        <f>+C239</f>
        <v>8.75</v>
      </c>
      <c r="D243" t="s">
        <v>33</v>
      </c>
    </row>
    <row r="244" spans="1:4" ht="12.75">
      <c r="A244" t="s">
        <v>31</v>
      </c>
      <c r="B244">
        <f>+B228</f>
        <v>0</v>
      </c>
      <c r="C244">
        <f>+C228</f>
        <v>0</v>
      </c>
      <c r="D244" t="s">
        <v>10</v>
      </c>
    </row>
    <row r="245" spans="2:4" ht="12.75">
      <c r="B245">
        <f>+B241</f>
        <v>2.742997090647722</v>
      </c>
      <c r="C245">
        <f>+C241</f>
        <v>2.25</v>
      </c>
      <c r="D245" t="s">
        <v>34</v>
      </c>
    </row>
    <row r="246" spans="1:4" ht="12.75">
      <c r="A246" t="s">
        <v>32</v>
      </c>
      <c r="B246">
        <f>+B241</f>
        <v>2.742997090647722</v>
      </c>
      <c r="C246">
        <f>+C241</f>
        <v>2.25</v>
      </c>
      <c r="D246" t="s">
        <v>34</v>
      </c>
    </row>
    <row r="247" spans="2:4" ht="12.75">
      <c r="B247">
        <f>+B233</f>
        <v>8.15355580429277</v>
      </c>
      <c r="C247">
        <f>+C233</f>
        <v>2.401984126984127</v>
      </c>
      <c r="D247" t="s">
        <v>11</v>
      </c>
    </row>
    <row r="249" spans="1:6" ht="12.75">
      <c r="A249" t="s">
        <v>36</v>
      </c>
      <c r="B249">
        <f>+F5</f>
        <v>5.5</v>
      </c>
      <c r="C249" t="s">
        <v>4</v>
      </c>
      <c r="E249">
        <f>+B249*12</f>
        <v>66</v>
      </c>
      <c r="F249" t="s">
        <v>5</v>
      </c>
    </row>
    <row r="250" spans="1:6" ht="12.75">
      <c r="A250" t="s">
        <v>37</v>
      </c>
      <c r="B250">
        <f>+B239</f>
        <v>1.6675985178770525</v>
      </c>
      <c r="C250" t="s">
        <v>4</v>
      </c>
      <c r="E250">
        <f aca="true" t="shared" si="0" ref="E250:E267">+B250*12</f>
        <v>20.01118221452463</v>
      </c>
      <c r="F250" t="s">
        <v>5</v>
      </c>
    </row>
    <row r="251" spans="1:6" ht="12.75">
      <c r="A251" t="s">
        <v>38</v>
      </c>
      <c r="B251">
        <f>((C231-C239)^2+(B231-B239)^2)^0.5</f>
        <v>4.936800702253255</v>
      </c>
      <c r="C251" t="s">
        <v>4</v>
      </c>
      <c r="E251">
        <f t="shared" si="0"/>
        <v>59.24160842703907</v>
      </c>
      <c r="F251" t="s">
        <v>5</v>
      </c>
    </row>
    <row r="252" spans="1:6" ht="12.75">
      <c r="A252" t="s">
        <v>35</v>
      </c>
      <c r="B252">
        <f>(B13/100)*(100/B15)*B239</f>
        <v>0.40022364429049256</v>
      </c>
      <c r="C252" t="s">
        <v>4</v>
      </c>
      <c r="E252">
        <f t="shared" si="0"/>
        <v>4.802683731485911</v>
      </c>
      <c r="F252" t="s">
        <v>5</v>
      </c>
    </row>
    <row r="253" spans="1:6" ht="12.75">
      <c r="A253" t="s">
        <v>39</v>
      </c>
      <c r="B253">
        <f>+(B252^2+B250^2)^0.5</f>
        <v>1.714952997103683</v>
      </c>
      <c r="C253" t="s">
        <v>4</v>
      </c>
      <c r="E253">
        <f t="shared" si="0"/>
        <v>20.579435965244194</v>
      </c>
      <c r="F253" t="s">
        <v>5</v>
      </c>
    </row>
    <row r="254" spans="1:6" ht="12.75">
      <c r="A254" t="s">
        <v>40</v>
      </c>
      <c r="B254">
        <f>(+B252^2+B251^2)^0.5</f>
        <v>4.952997086534314</v>
      </c>
      <c r="C254" t="s">
        <v>4</v>
      </c>
      <c r="E254">
        <f t="shared" si="0"/>
        <v>59.435965038411766</v>
      </c>
      <c r="F254" t="s">
        <v>5</v>
      </c>
    </row>
    <row r="255" spans="1:6" ht="12.75">
      <c r="A255" t="s">
        <v>41</v>
      </c>
      <c r="B255">
        <f>((+C228-C241)^2+(B228-B241)^2)^0.5</f>
        <v>3.5477504195337457</v>
      </c>
      <c r="C255" t="s">
        <v>4</v>
      </c>
      <c r="E255">
        <f t="shared" si="0"/>
        <v>42.57300503440495</v>
      </c>
      <c r="F255" t="s">
        <v>5</v>
      </c>
    </row>
    <row r="256" spans="1:6" ht="12.75">
      <c r="A256" t="s">
        <v>42</v>
      </c>
      <c r="B256">
        <f>((C241-C233)^2+(B241-B233)^2)^0.5</f>
        <v>5.4126929313102075</v>
      </c>
      <c r="C256" t="s">
        <v>4</v>
      </c>
      <c r="E256">
        <f t="shared" si="0"/>
        <v>64.95231517572249</v>
      </c>
      <c r="F256" t="s">
        <v>5</v>
      </c>
    </row>
    <row r="257" spans="1:6" ht="12.75">
      <c r="A257" t="s">
        <v>43</v>
      </c>
      <c r="B257">
        <f>+F7</f>
        <v>8.5</v>
      </c>
      <c r="C257" t="s">
        <v>4</v>
      </c>
      <c r="E257">
        <f t="shared" si="0"/>
        <v>102</v>
      </c>
      <c r="F257" t="s">
        <v>5</v>
      </c>
    </row>
    <row r="258" spans="1:6" ht="12.75">
      <c r="A258" t="s">
        <v>44</v>
      </c>
      <c r="B258">
        <f>(B14/100)*(100/B15)*B241</f>
        <v>0.8228991271943168</v>
      </c>
      <c r="C258" t="s">
        <v>4</v>
      </c>
      <c r="E258">
        <f t="shared" si="0"/>
        <v>9.874789526331801</v>
      </c>
      <c r="F258" t="s">
        <v>5</v>
      </c>
    </row>
    <row r="259" spans="1:6" ht="12.75">
      <c r="A259" t="s">
        <v>45</v>
      </c>
      <c r="B259">
        <f>+(B258^2+B255^2)^0.5</f>
        <v>3.6419357507840577</v>
      </c>
      <c r="C259" t="s">
        <v>4</v>
      </c>
      <c r="E259">
        <f t="shared" si="0"/>
        <v>43.703229009408695</v>
      </c>
      <c r="F259" t="s">
        <v>5</v>
      </c>
    </row>
    <row r="260" spans="1:6" ht="12.75">
      <c r="A260" t="s">
        <v>46</v>
      </c>
      <c r="B260">
        <f>(+B258^2+B256^2)^0.5</f>
        <v>5.474888833774861</v>
      </c>
      <c r="C260" t="s">
        <v>4</v>
      </c>
      <c r="E260">
        <f t="shared" si="0"/>
        <v>65.69866600529832</v>
      </c>
      <c r="F260" t="s">
        <v>5</v>
      </c>
    </row>
    <row r="261" spans="1:6" ht="12.75">
      <c r="A261" t="s">
        <v>48</v>
      </c>
      <c r="B261">
        <f>+((C239-C241)^2+(B239-B241)^2)^0.5</f>
        <v>6.588359590240745</v>
      </c>
      <c r="C261" t="s">
        <v>4</v>
      </c>
      <c r="E261">
        <f t="shared" si="0"/>
        <v>79.06031508288893</v>
      </c>
      <c r="F261" t="s">
        <v>5</v>
      </c>
    </row>
    <row r="262" spans="1:6" ht="12.75">
      <c r="A262" t="s">
        <v>47</v>
      </c>
      <c r="B262">
        <f>+B258-B252</f>
        <v>0.42267548290382423</v>
      </c>
      <c r="C262" t="s">
        <v>4</v>
      </c>
      <c r="E262">
        <f t="shared" si="0"/>
        <v>5.072105794845891</v>
      </c>
      <c r="F262" t="s">
        <v>5</v>
      </c>
    </row>
    <row r="263" spans="1:6" ht="12.75">
      <c r="A263" t="s">
        <v>49</v>
      </c>
      <c r="B263">
        <f>+(B262^2+B261^2)^0.5</f>
        <v>6.601904017339632</v>
      </c>
      <c r="C263" t="s">
        <v>4</v>
      </c>
      <c r="E263">
        <f t="shared" si="0"/>
        <v>79.22284820807559</v>
      </c>
      <c r="F263" t="s">
        <v>5</v>
      </c>
    </row>
    <row r="264" spans="1:6" ht="12.75">
      <c r="A264" t="s">
        <v>50</v>
      </c>
      <c r="B264">
        <f>((C239-C247)^2+(B239-B247)^2)^0.5</f>
        <v>9.075513618813572</v>
      </c>
      <c r="C264" t="s">
        <v>4</v>
      </c>
      <c r="E264">
        <f t="shared" si="0"/>
        <v>108.90616342576286</v>
      </c>
      <c r="F264" t="s">
        <v>5</v>
      </c>
    </row>
    <row r="265" spans="1:6" ht="12.75">
      <c r="A265" t="s">
        <v>51</v>
      </c>
      <c r="B265">
        <f>(B252^2+B264^2)^0.5</f>
        <v>9.084334120381074</v>
      </c>
      <c r="C265" t="s">
        <v>4</v>
      </c>
      <c r="E265">
        <f t="shared" si="0"/>
        <v>109.0120094445729</v>
      </c>
      <c r="F265" t="s">
        <v>5</v>
      </c>
    </row>
    <row r="266" spans="1:6" ht="12.75">
      <c r="A266" t="s">
        <v>52</v>
      </c>
      <c r="B266">
        <f>((C239-C244)^2+(B239-B244)^2)^0.5</f>
        <v>8.90749037702684</v>
      </c>
      <c r="C266" t="s">
        <v>4</v>
      </c>
      <c r="E266">
        <f t="shared" si="0"/>
        <v>106.88988452432207</v>
      </c>
      <c r="F266" t="s">
        <v>5</v>
      </c>
    </row>
    <row r="267" spans="1:6" ht="12.75">
      <c r="A267" t="s">
        <v>53</v>
      </c>
      <c r="B267">
        <f>(+B252^2+B266^2)^0.5</f>
        <v>8.916477094810197</v>
      </c>
      <c r="C267" t="s">
        <v>4</v>
      </c>
      <c r="E267">
        <f t="shared" si="0"/>
        <v>106.99772513772237</v>
      </c>
      <c r="F267" t="s">
        <v>5</v>
      </c>
    </row>
    <row r="269" spans="2:8" ht="12.75">
      <c r="B269" t="s">
        <v>74</v>
      </c>
      <c r="C269" t="s">
        <v>26</v>
      </c>
      <c r="D269" t="s">
        <v>75</v>
      </c>
      <c r="E269" t="s">
        <v>17</v>
      </c>
      <c r="F269" t="s">
        <v>18</v>
      </c>
      <c r="G269" t="s">
        <v>28</v>
      </c>
      <c r="H269" t="s">
        <v>76</v>
      </c>
    </row>
    <row r="270" spans="1:8" ht="12.75">
      <c r="A270" t="s">
        <v>54</v>
      </c>
      <c r="B270">
        <f>+B253</f>
        <v>1.714952997103683</v>
      </c>
      <c r="C270">
        <f>B249</f>
        <v>5.5</v>
      </c>
      <c r="D270">
        <f>B254</f>
        <v>4.952997086534314</v>
      </c>
      <c r="E270">
        <f>(+B270+C270+D270)/2</f>
        <v>6.083975041818999</v>
      </c>
      <c r="F270">
        <f>((E270-B270)*(E270-C270)*(E270-D270)/E270)^0.5</f>
        <v>0.6886881642153719</v>
      </c>
      <c r="G270">
        <f>2*ATAN(F270/(E270-B270))</f>
        <v>0.31268678959930796</v>
      </c>
      <c r="H270">
        <f>DEGREES(G270)</f>
        <v>17.91563335353551</v>
      </c>
    </row>
    <row r="271" spans="1:8" ht="12.75">
      <c r="A271" t="s">
        <v>55</v>
      </c>
      <c r="B271">
        <f>B265</f>
        <v>9.084334120381074</v>
      </c>
      <c r="C271">
        <f>B254</f>
        <v>4.952997086534314</v>
      </c>
      <c r="D271">
        <f>F6</f>
        <v>12.5</v>
      </c>
      <c r="E271">
        <f>(+B271+C271+D271)/2</f>
        <v>13.268665603457695</v>
      </c>
      <c r="F271">
        <f aca="true" t="shared" si="1" ref="F271:F287">((E271-B271)*(E271-C271)*(E271-D271)/E271)^0.5</f>
        <v>1.4197658465173024</v>
      </c>
      <c r="G271">
        <f aca="true" t="shared" si="2" ref="G271:G287">2*ATAN(F271/(E271-B271))</f>
        <v>0.654231320376947</v>
      </c>
      <c r="H271">
        <f aca="true" t="shared" si="3" ref="H271:H289">DEGREES(G271)</f>
        <v>37.48469348287028</v>
      </c>
    </row>
    <row r="272" spans="1:8" ht="12.75">
      <c r="A272" t="s">
        <v>56</v>
      </c>
      <c r="B272">
        <f>B254</f>
        <v>4.952997086534314</v>
      </c>
      <c r="C272">
        <f>F6</f>
        <v>12.5</v>
      </c>
      <c r="D272">
        <f>B265</f>
        <v>9.084334120381074</v>
      </c>
      <c r="E272">
        <f aca="true" t="shared" si="4" ref="E272:E287">(+B272+C272+D272)/2</f>
        <v>13.268665603457695</v>
      </c>
      <c r="F272">
        <f t="shared" si="1"/>
        <v>1.4197658465173024</v>
      </c>
      <c r="G272">
        <f t="shared" si="2"/>
        <v>0.3382065564667604</v>
      </c>
      <c r="H272">
        <f t="shared" si="3"/>
        <v>19.37780828919833</v>
      </c>
    </row>
    <row r="273" spans="1:8" ht="12.75">
      <c r="A273" t="s">
        <v>57</v>
      </c>
      <c r="B273">
        <f>B263</f>
        <v>6.601904017339632</v>
      </c>
      <c r="C273">
        <f>B265</f>
        <v>9.084334120381074</v>
      </c>
      <c r="D273">
        <f>B260</f>
        <v>5.474888833774861</v>
      </c>
      <c r="E273">
        <f t="shared" si="4"/>
        <v>10.580563485747785</v>
      </c>
      <c r="F273">
        <f t="shared" si="1"/>
        <v>1.6948826798010665</v>
      </c>
      <c r="G273">
        <f t="shared" si="2"/>
        <v>0.8054235326943153</v>
      </c>
      <c r="H273">
        <f t="shared" si="3"/>
        <v>46.147369143901344</v>
      </c>
    </row>
    <row r="274" spans="1:8" ht="12.75">
      <c r="A274" t="s">
        <v>58</v>
      </c>
      <c r="B274">
        <f>B259</f>
        <v>3.6419357507840577</v>
      </c>
      <c r="C274">
        <f>B260</f>
        <v>5.474888833774861</v>
      </c>
      <c r="D274">
        <f>F7</f>
        <v>8.5</v>
      </c>
      <c r="E274">
        <f t="shared" si="4"/>
        <v>8.80841229227946</v>
      </c>
      <c r="F274">
        <f t="shared" si="1"/>
        <v>0.7765438976312087</v>
      </c>
      <c r="G274">
        <f t="shared" si="2"/>
        <v>0.2983751739711334</v>
      </c>
      <c r="H274">
        <f t="shared" si="3"/>
        <v>17.09563818002764</v>
      </c>
    </row>
    <row r="275" spans="1:8" ht="12.75">
      <c r="A275" t="s">
        <v>59</v>
      </c>
      <c r="B275">
        <f>B260</f>
        <v>5.474888833774861</v>
      </c>
      <c r="C275">
        <f>F7</f>
        <v>8.5</v>
      </c>
      <c r="D275">
        <f>B259</f>
        <v>3.6419357507840577</v>
      </c>
      <c r="E275">
        <f t="shared" si="4"/>
        <v>8.80841229227946</v>
      </c>
      <c r="F275">
        <f t="shared" si="1"/>
        <v>0.7765438976312088</v>
      </c>
      <c r="G275">
        <f t="shared" si="2"/>
        <v>0.45773650067071464</v>
      </c>
      <c r="H275">
        <f t="shared" si="3"/>
        <v>26.226369617519126</v>
      </c>
    </row>
    <row r="276" spans="1:8" ht="12.75">
      <c r="A276" t="s">
        <v>60</v>
      </c>
      <c r="B276">
        <f>B263</f>
        <v>6.601904017339632</v>
      </c>
      <c r="C276">
        <f>B259</f>
        <v>3.6419357507840577</v>
      </c>
      <c r="D276">
        <f>B267</f>
        <v>8.916477094810197</v>
      </c>
      <c r="E276">
        <f t="shared" si="4"/>
        <v>9.580158431466945</v>
      </c>
      <c r="F276">
        <f t="shared" si="1"/>
        <v>1.1068852333005526</v>
      </c>
      <c r="G276">
        <f t="shared" si="2"/>
        <v>0.7116709273029725</v>
      </c>
      <c r="H276">
        <f t="shared" si="3"/>
        <v>40.77574053662195</v>
      </c>
    </row>
    <row r="277" spans="1:8" ht="12.75">
      <c r="A277" t="s">
        <v>61</v>
      </c>
      <c r="B277">
        <f>B253</f>
        <v>1.714952997103683</v>
      </c>
      <c r="C277">
        <f>B267</f>
        <v>8.916477094810197</v>
      </c>
      <c r="D277">
        <f>F4</f>
        <v>8.75</v>
      </c>
      <c r="E277">
        <f t="shared" si="4"/>
        <v>9.69071504595694</v>
      </c>
      <c r="F277">
        <f t="shared" si="1"/>
        <v>0.7742379511467428</v>
      </c>
      <c r="G277">
        <f t="shared" si="2"/>
        <v>0.1935412911175701</v>
      </c>
      <c r="H277">
        <f t="shared" si="3"/>
        <v>11.089099142549575</v>
      </c>
    </row>
    <row r="278" spans="1:8" ht="12.75">
      <c r="A278" t="s">
        <v>62</v>
      </c>
      <c r="B278">
        <f>B267</f>
        <v>8.916477094810197</v>
      </c>
      <c r="C278">
        <f>F4</f>
        <v>8.75</v>
      </c>
      <c r="D278">
        <f>B253</f>
        <v>1.714952997103683</v>
      </c>
      <c r="E278">
        <f t="shared" si="4"/>
        <v>9.69071504595694</v>
      </c>
      <c r="F278">
        <f t="shared" si="1"/>
        <v>0.7742379511467429</v>
      </c>
      <c r="G278">
        <f t="shared" si="2"/>
        <v>1.5707963267948966</v>
      </c>
      <c r="H278">
        <f t="shared" si="3"/>
        <v>90</v>
      </c>
    </row>
    <row r="279" spans="1:8" ht="12.75">
      <c r="A279" t="s">
        <v>63</v>
      </c>
      <c r="B279">
        <f>B254</f>
        <v>4.952997086534314</v>
      </c>
      <c r="C279">
        <f>B253</f>
        <v>1.714952997103683</v>
      </c>
      <c r="D279">
        <f>F5</f>
        <v>5.5</v>
      </c>
      <c r="E279">
        <f t="shared" si="4"/>
        <v>6.083975041818999</v>
      </c>
      <c r="F279">
        <f t="shared" si="1"/>
        <v>0.6886881642153719</v>
      </c>
      <c r="G279">
        <f t="shared" si="2"/>
        <v>1.0939219001552796</v>
      </c>
      <c r="H279">
        <f t="shared" si="3"/>
        <v>62.677107995828955</v>
      </c>
    </row>
    <row r="280" spans="1:8" ht="12.75">
      <c r="A280" t="s">
        <v>64</v>
      </c>
      <c r="B280">
        <f>F5</f>
        <v>5.5</v>
      </c>
      <c r="C280">
        <f>B254</f>
        <v>4.952997086534314</v>
      </c>
      <c r="D280">
        <f>B253</f>
        <v>1.714952997103683</v>
      </c>
      <c r="E280">
        <f t="shared" si="4"/>
        <v>6.083975041818999</v>
      </c>
      <c r="F280">
        <f t="shared" si="1"/>
        <v>0.6886881642153719</v>
      </c>
      <c r="G280">
        <f t="shared" si="2"/>
        <v>1.7349839638352056</v>
      </c>
      <c r="H280">
        <f t="shared" si="3"/>
        <v>99.40725865063554</v>
      </c>
    </row>
    <row r="281" spans="1:8" ht="12.75">
      <c r="A281" t="s">
        <v>65</v>
      </c>
      <c r="B281">
        <f>F6</f>
        <v>12.5</v>
      </c>
      <c r="C281">
        <f>B265</f>
        <v>9.084334120381074</v>
      </c>
      <c r="D281">
        <f>B254</f>
        <v>4.952997086534314</v>
      </c>
      <c r="E281">
        <f t="shared" si="4"/>
        <v>13.268665603457693</v>
      </c>
      <c r="F281">
        <f t="shared" si="1"/>
        <v>1.4197658465173004</v>
      </c>
      <c r="G281">
        <f t="shared" si="2"/>
        <v>2.149154776746087</v>
      </c>
      <c r="H281">
        <f t="shared" si="3"/>
        <v>123.13749822793146</v>
      </c>
    </row>
    <row r="282" spans="1:8" ht="12.75">
      <c r="A282" t="s">
        <v>66</v>
      </c>
      <c r="B282">
        <f>B260</f>
        <v>5.474888833774861</v>
      </c>
      <c r="C282">
        <f>B263</f>
        <v>6.601904017339632</v>
      </c>
      <c r="D282">
        <f>B265</f>
        <v>9.084334120381074</v>
      </c>
      <c r="E282">
        <f t="shared" si="4"/>
        <v>10.580563485747785</v>
      </c>
      <c r="F282">
        <f t="shared" si="1"/>
        <v>1.6948826798010665</v>
      </c>
      <c r="G282">
        <f t="shared" si="2"/>
        <v>0.6410291222825818</v>
      </c>
      <c r="H282">
        <f t="shared" si="3"/>
        <v>36.728263251767494</v>
      </c>
    </row>
    <row r="283" spans="1:8" ht="12.75">
      <c r="A283" t="s">
        <v>67</v>
      </c>
      <c r="B283">
        <f>B259</f>
        <v>3.6419357507840577</v>
      </c>
      <c r="C283">
        <f>B267</f>
        <v>8.916477094810197</v>
      </c>
      <c r="D283">
        <f>B263</f>
        <v>6.601904017339632</v>
      </c>
      <c r="E283">
        <f t="shared" si="4"/>
        <v>9.580158431466943</v>
      </c>
      <c r="F283">
        <f t="shared" si="1"/>
        <v>1.1068852333005506</v>
      </c>
      <c r="G283">
        <f t="shared" si="2"/>
        <v>0.368570365321421</v>
      </c>
      <c r="H283">
        <f t="shared" si="3"/>
        <v>21.117526386512342</v>
      </c>
    </row>
    <row r="284" spans="1:8" ht="12.75">
      <c r="A284" t="s">
        <v>68</v>
      </c>
      <c r="B284">
        <f>F4</f>
        <v>8.75</v>
      </c>
      <c r="C284">
        <f>B253</f>
        <v>1.714952997103683</v>
      </c>
      <c r="D284">
        <f>B267</f>
        <v>8.916477094810197</v>
      </c>
      <c r="E284">
        <f t="shared" si="4"/>
        <v>9.69071504595694</v>
      </c>
      <c r="F284">
        <f t="shared" si="1"/>
        <v>0.7742379511467428</v>
      </c>
      <c r="G284">
        <f t="shared" si="2"/>
        <v>1.3772550356773268</v>
      </c>
      <c r="H284">
        <f t="shared" si="3"/>
        <v>78.91090085745044</v>
      </c>
    </row>
    <row r="285" spans="1:8" ht="12.75">
      <c r="A285" t="s">
        <v>69</v>
      </c>
      <c r="B285">
        <f>B267</f>
        <v>8.916477094810197</v>
      </c>
      <c r="C285">
        <f>B263</f>
        <v>6.601904017339632</v>
      </c>
      <c r="D285">
        <f>B259</f>
        <v>3.6419357507840577</v>
      </c>
      <c r="E285">
        <f t="shared" si="4"/>
        <v>9.580158431466943</v>
      </c>
      <c r="F285">
        <f t="shared" si="1"/>
        <v>1.1068852333005506</v>
      </c>
      <c r="G285">
        <f t="shared" si="2"/>
        <v>2.0613513609654004</v>
      </c>
      <c r="H285">
        <f t="shared" si="3"/>
        <v>118.10673307686575</v>
      </c>
    </row>
    <row r="286" spans="1:8" ht="12.75">
      <c r="A286" t="s">
        <v>70</v>
      </c>
      <c r="B286">
        <f>B265</f>
        <v>9.084334120381074</v>
      </c>
      <c r="C286">
        <f>B260</f>
        <v>5.474888833774861</v>
      </c>
      <c r="D286">
        <f>B263</f>
        <v>6.601904017339632</v>
      </c>
      <c r="E286">
        <f t="shared" si="4"/>
        <v>10.580563485747783</v>
      </c>
      <c r="F286">
        <f t="shared" si="1"/>
        <v>1.694882679801065</v>
      </c>
      <c r="G286">
        <f t="shared" si="2"/>
        <v>1.6951399986128968</v>
      </c>
      <c r="H286">
        <f t="shared" si="3"/>
        <v>97.12436760433121</v>
      </c>
    </row>
    <row r="287" spans="1:8" ht="12.75">
      <c r="A287" t="s">
        <v>71</v>
      </c>
      <c r="B287">
        <f>F7</f>
        <v>8.5</v>
      </c>
      <c r="C287">
        <f>B259</f>
        <v>3.6419357507840577</v>
      </c>
      <c r="D287">
        <f>B260</f>
        <v>5.474888833774861</v>
      </c>
      <c r="E287">
        <f t="shared" si="4"/>
        <v>8.80841229227946</v>
      </c>
      <c r="F287">
        <f t="shared" si="1"/>
        <v>0.7765438976312087</v>
      </c>
      <c r="G287">
        <f t="shared" si="2"/>
        <v>2.385480978947945</v>
      </c>
      <c r="H287">
        <f t="shared" si="3"/>
        <v>136.67799220245325</v>
      </c>
    </row>
    <row r="288" spans="1:8" ht="12.75">
      <c r="A288" t="s">
        <v>72</v>
      </c>
      <c r="G288">
        <f>2*PI()-G285-G286-G287</f>
        <v>0.14121296865334454</v>
      </c>
      <c r="H288">
        <f t="shared" si="3"/>
        <v>8.090907116349834</v>
      </c>
    </row>
    <row r="289" spans="1:8" ht="12.75">
      <c r="A289" t="s">
        <v>73</v>
      </c>
      <c r="G289">
        <f>2*PI()-G280-G281-G282-G283-G284</f>
        <v>0.012192043316964662</v>
      </c>
      <c r="H289">
        <f t="shared" si="3"/>
        <v>0.6985526257027561</v>
      </c>
    </row>
    <row r="292" spans="2:6" ht="12.75">
      <c r="B292" t="s">
        <v>84</v>
      </c>
      <c r="D292" t="s">
        <v>83</v>
      </c>
      <c r="E292" t="s">
        <v>82</v>
      </c>
      <c r="F292" t="s">
        <v>94</v>
      </c>
    </row>
    <row r="293" spans="1:7" ht="12.75">
      <c r="A293" t="s">
        <v>23</v>
      </c>
      <c r="B293" t="s">
        <v>8</v>
      </c>
      <c r="C293" t="s">
        <v>9</v>
      </c>
      <c r="F293" t="s">
        <v>8</v>
      </c>
      <c r="G293" t="s">
        <v>9</v>
      </c>
    </row>
    <row r="294" spans="1:7" ht="12.75">
      <c r="A294" t="s">
        <v>81</v>
      </c>
      <c r="B294">
        <v>0</v>
      </c>
      <c r="C294">
        <v>0</v>
      </c>
      <c r="D294">
        <f>(2*PI())/4</f>
        <v>1.5707963267948966</v>
      </c>
      <c r="E294" s="4">
        <f>+F4</f>
        <v>8.75</v>
      </c>
      <c r="F294">
        <f>+B294</f>
        <v>0</v>
      </c>
      <c r="G294">
        <f>+C294-$C$329</f>
        <v>0.5063707338477035</v>
      </c>
    </row>
    <row r="295" spans="2:7" ht="12.75">
      <c r="B295">
        <f>+B294+E294*COS(D294)</f>
        <v>5.360024490225213E-16</v>
      </c>
      <c r="C295">
        <f>+C294+E294*SIN(D294)</f>
        <v>8.75</v>
      </c>
      <c r="E295" s="4"/>
      <c r="F295">
        <f aca="true" t="shared" si="5" ref="F295:F339">+B295</f>
        <v>5.360024490225213E-16</v>
      </c>
      <c r="G295">
        <f aca="true" t="shared" si="6" ref="G295:G319">+C295-$C$329</f>
        <v>9.256370733847703</v>
      </c>
    </row>
    <row r="296" spans="1:7" ht="12.75">
      <c r="A296" t="s">
        <v>39</v>
      </c>
      <c r="B296">
        <f>+B295</f>
        <v>5.360024490225213E-16</v>
      </c>
      <c r="C296">
        <f>+C295</f>
        <v>8.75</v>
      </c>
      <c r="D296">
        <f>+D294+2*PI()/2+G278</f>
        <v>6.283185307179586</v>
      </c>
      <c r="E296">
        <f>+B253</f>
        <v>1.714952997103683</v>
      </c>
      <c r="F296">
        <f t="shared" si="5"/>
        <v>5.360024490225213E-16</v>
      </c>
      <c r="G296">
        <f t="shared" si="6"/>
        <v>9.256370733847703</v>
      </c>
    </row>
    <row r="297" spans="2:7" ht="12.75">
      <c r="B297">
        <f>+B296+E296*COS(D296)</f>
        <v>1.7149529971036834</v>
      </c>
      <c r="C297">
        <f>+C296+E296*SIN(D296)</f>
        <v>8.75</v>
      </c>
      <c r="F297">
        <f t="shared" si="5"/>
        <v>1.7149529971036834</v>
      </c>
      <c r="G297">
        <f t="shared" si="6"/>
        <v>9.256370733847703</v>
      </c>
    </row>
    <row r="298" spans="1:7" ht="12.75">
      <c r="A298" t="s">
        <v>80</v>
      </c>
      <c r="B298">
        <f>+B297</f>
        <v>1.7149529971036834</v>
      </c>
      <c r="C298">
        <f>+C297</f>
        <v>8.75</v>
      </c>
      <c r="D298">
        <f>+D296+2*PI()/2+G280+G281+G282+G283+G284</f>
        <v>15.695771224632</v>
      </c>
      <c r="E298">
        <f>+E296</f>
        <v>1.714952997103683</v>
      </c>
      <c r="F298">
        <f t="shared" si="5"/>
        <v>1.7149529971036834</v>
      </c>
      <c r="G298">
        <f t="shared" si="6"/>
        <v>9.256370733847703</v>
      </c>
    </row>
    <row r="299" spans="2:7" ht="12.75">
      <c r="B299">
        <f aca="true" t="shared" si="7" ref="B299:B309">+B298+E298*COS(D298)</f>
        <v>0.0001274588043498337</v>
      </c>
      <c r="C299">
        <f aca="true" t="shared" si="8" ref="C299:C309">+C298+E298*SIN(D298)</f>
        <v>8.77090826323026</v>
      </c>
      <c r="F299">
        <f t="shared" si="5"/>
        <v>0.0001274588043498337</v>
      </c>
      <c r="G299">
        <f t="shared" si="6"/>
        <v>9.277278997077962</v>
      </c>
    </row>
    <row r="300" spans="1:7" ht="12.75">
      <c r="A300" t="s">
        <v>85</v>
      </c>
      <c r="B300">
        <f t="shared" si="7"/>
        <v>0.0001274588043498337</v>
      </c>
      <c r="C300">
        <f t="shared" si="8"/>
        <v>8.77090826323026</v>
      </c>
      <c r="D300">
        <f>+D298+2*PI()/2+G279</f>
        <v>19.931285778377074</v>
      </c>
      <c r="E300" s="4">
        <f>+F5</f>
        <v>5.5</v>
      </c>
      <c r="F300">
        <f t="shared" si="5"/>
        <v>0.0001274588043498337</v>
      </c>
      <c r="G300">
        <f t="shared" si="6"/>
        <v>9.277278997077962</v>
      </c>
    </row>
    <row r="301" spans="2:7" ht="12.75">
      <c r="B301">
        <f t="shared" si="7"/>
        <v>2.584038453243126</v>
      </c>
      <c r="C301">
        <f t="shared" si="8"/>
        <v>13.626153259398672</v>
      </c>
      <c r="F301">
        <f t="shared" si="5"/>
        <v>2.584038453243126</v>
      </c>
      <c r="G301">
        <f t="shared" si="6"/>
        <v>14.132523993246375</v>
      </c>
    </row>
    <row r="302" spans="1:7" ht="12.75">
      <c r="A302" t="s">
        <v>86</v>
      </c>
      <c r="B302">
        <f t="shared" si="7"/>
        <v>2.584038453243126</v>
      </c>
      <c r="C302">
        <f t="shared" si="8"/>
        <v>13.626153259398672</v>
      </c>
      <c r="D302">
        <f>+D300+2*PI()/2+G270+G271</f>
        <v>24.039796541943122</v>
      </c>
      <c r="E302" s="4">
        <f>F6</f>
        <v>12.5</v>
      </c>
      <c r="F302">
        <f t="shared" si="5"/>
        <v>2.584038453243126</v>
      </c>
      <c r="G302">
        <f t="shared" si="6"/>
        <v>14.132523993246375</v>
      </c>
    </row>
    <row r="303" spans="2:7" ht="12.75">
      <c r="B303">
        <f t="shared" si="7"/>
        <v>8.332445040160723</v>
      </c>
      <c r="C303">
        <f t="shared" si="8"/>
        <v>2.5263414721888378</v>
      </c>
      <c r="F303">
        <f t="shared" si="5"/>
        <v>8.332445040160723</v>
      </c>
      <c r="G303">
        <f t="shared" si="6"/>
        <v>3.0327122060365412</v>
      </c>
    </row>
    <row r="304" spans="1:7" ht="12.75">
      <c r="A304" t="s">
        <v>87</v>
      </c>
      <c r="B304">
        <f t="shared" si="7"/>
        <v>8.332445040160723</v>
      </c>
      <c r="C304">
        <f t="shared" si="8"/>
        <v>2.5263414721888378</v>
      </c>
      <c r="D304">
        <f>+D302+2*PI()/2+G272+G273+G274</f>
        <v>28.62339445866513</v>
      </c>
      <c r="E304" s="4">
        <f>+F7</f>
        <v>8.5</v>
      </c>
      <c r="F304">
        <f t="shared" si="5"/>
        <v>8.332445040160723</v>
      </c>
      <c r="G304">
        <f t="shared" si="6"/>
        <v>3.0327122060365412</v>
      </c>
    </row>
    <row r="305" spans="2:7" ht="12.75">
      <c r="B305">
        <f t="shared" si="7"/>
        <v>0.3450424310488396</v>
      </c>
      <c r="C305">
        <f t="shared" si="8"/>
        <v>-0.38078762022393153</v>
      </c>
      <c r="F305">
        <f t="shared" si="5"/>
        <v>0.3450424310488396</v>
      </c>
      <c r="G305">
        <f t="shared" si="6"/>
        <v>0.12558311362377195</v>
      </c>
    </row>
    <row r="306" spans="1:7" ht="12.75">
      <c r="A306" t="s">
        <v>45</v>
      </c>
      <c r="B306">
        <f t="shared" si="7"/>
        <v>0.3450424310488396</v>
      </c>
      <c r="C306">
        <f t="shared" si="8"/>
        <v>-0.38078762022393153</v>
      </c>
      <c r="D306">
        <f>+D304+2*PI()/2+G275</f>
        <v>32.222723612925634</v>
      </c>
      <c r="E306">
        <f>+B259</f>
        <v>3.6419357507840577</v>
      </c>
      <c r="F306">
        <f t="shared" si="5"/>
        <v>0.3450424310488396</v>
      </c>
      <c r="G306">
        <f t="shared" si="6"/>
        <v>0.12558311362377195</v>
      </c>
    </row>
    <row r="307" spans="2:7" ht="12.75">
      <c r="B307">
        <f t="shared" si="7"/>
        <v>2.864587223085673</v>
      </c>
      <c r="C307">
        <f t="shared" si="8"/>
        <v>2.248963328774682</v>
      </c>
      <c r="F307">
        <f t="shared" si="5"/>
        <v>2.864587223085673</v>
      </c>
      <c r="G307">
        <f t="shared" si="6"/>
        <v>2.7553340626223854</v>
      </c>
    </row>
    <row r="308" spans="1:7" ht="12.75">
      <c r="A308" t="s">
        <v>88</v>
      </c>
      <c r="B308">
        <f t="shared" si="7"/>
        <v>2.864587223085673</v>
      </c>
      <c r="C308">
        <f t="shared" si="8"/>
        <v>2.248963328774682</v>
      </c>
      <c r="D308">
        <f>+D306+2*PI()/2+G285+G286+G287</f>
        <v>41.506288605041675</v>
      </c>
      <c r="E308">
        <f>+E306</f>
        <v>3.6419357507840577</v>
      </c>
      <c r="F308">
        <f t="shared" si="5"/>
        <v>2.864587223085673</v>
      </c>
      <c r="G308">
        <f t="shared" si="6"/>
        <v>2.7553340626223854</v>
      </c>
    </row>
    <row r="309" spans="2:7" ht="12.75">
      <c r="B309">
        <f t="shared" si="7"/>
        <v>3.1530333899354446E-14</v>
      </c>
      <c r="C309">
        <f t="shared" si="8"/>
        <v>-5.1958437552457326E-14</v>
      </c>
      <c r="F309">
        <f t="shared" si="5"/>
        <v>3.1530333899354446E-14</v>
      </c>
      <c r="G309">
        <f t="shared" si="6"/>
        <v>0.5063707338476515</v>
      </c>
    </row>
    <row r="310" spans="1:7" ht="12.75">
      <c r="A310" t="s">
        <v>40</v>
      </c>
      <c r="B310">
        <f>+B302</f>
        <v>2.584038453243126</v>
      </c>
      <c r="C310">
        <f>+C302</f>
        <v>13.626153259398672</v>
      </c>
      <c r="F310">
        <f t="shared" si="5"/>
        <v>2.584038453243126</v>
      </c>
      <c r="G310">
        <f t="shared" si="6"/>
        <v>14.132523993246375</v>
      </c>
    </row>
    <row r="311" spans="2:7" ht="12.75">
      <c r="B311">
        <f>+B298</f>
        <v>1.7149529971036834</v>
      </c>
      <c r="C311">
        <f>+C298</f>
        <v>8.75</v>
      </c>
      <c r="F311">
        <f t="shared" si="5"/>
        <v>1.7149529971036834</v>
      </c>
      <c r="G311">
        <f t="shared" si="6"/>
        <v>9.256370733847703</v>
      </c>
    </row>
    <row r="312" spans="1:7" ht="12.75">
      <c r="A312" t="s">
        <v>51</v>
      </c>
      <c r="B312">
        <f>+B298</f>
        <v>1.7149529971036834</v>
      </c>
      <c r="C312">
        <f>+C298</f>
        <v>8.75</v>
      </c>
      <c r="F312">
        <f t="shared" si="5"/>
        <v>1.7149529971036834</v>
      </c>
      <c r="G312">
        <f t="shared" si="6"/>
        <v>9.256370733847703</v>
      </c>
    </row>
    <row r="313" spans="2:7" ht="12.75">
      <c r="B313">
        <f>+B304</f>
        <v>8.332445040160723</v>
      </c>
      <c r="C313">
        <f>+C304</f>
        <v>2.5263414721888378</v>
      </c>
      <c r="F313">
        <f t="shared" si="5"/>
        <v>8.332445040160723</v>
      </c>
      <c r="G313">
        <f t="shared" si="6"/>
        <v>3.0327122060365412</v>
      </c>
    </row>
    <row r="314" spans="1:7" ht="12.75">
      <c r="A314" t="s">
        <v>46</v>
      </c>
      <c r="B314">
        <f>+B304</f>
        <v>8.332445040160723</v>
      </c>
      <c r="C314">
        <f>+C304</f>
        <v>2.5263414721888378</v>
      </c>
      <c r="F314">
        <f t="shared" si="5"/>
        <v>8.332445040160723</v>
      </c>
      <c r="G314">
        <f t="shared" si="6"/>
        <v>3.0327122060365412</v>
      </c>
    </row>
    <row r="315" spans="2:7" ht="12.75">
      <c r="B315">
        <f>+B308</f>
        <v>2.864587223085673</v>
      </c>
      <c r="C315">
        <f>+C308</f>
        <v>2.248963328774682</v>
      </c>
      <c r="F315">
        <f t="shared" si="5"/>
        <v>2.864587223085673</v>
      </c>
      <c r="G315">
        <f t="shared" si="6"/>
        <v>2.7553340626223854</v>
      </c>
    </row>
    <row r="316" spans="1:7" ht="12.75">
      <c r="A316" t="s">
        <v>53</v>
      </c>
      <c r="B316">
        <f>+B298</f>
        <v>1.7149529971036834</v>
      </c>
      <c r="C316">
        <f>+C298</f>
        <v>8.75</v>
      </c>
      <c r="F316">
        <f t="shared" si="5"/>
        <v>1.7149529971036834</v>
      </c>
      <c r="G316">
        <f t="shared" si="6"/>
        <v>9.256370733847703</v>
      </c>
    </row>
    <row r="317" spans="2:7" ht="12.75">
      <c r="B317">
        <f>+B294</f>
        <v>0</v>
      </c>
      <c r="C317">
        <f>+C294</f>
        <v>0</v>
      </c>
      <c r="F317">
        <f t="shared" si="5"/>
        <v>0</v>
      </c>
      <c r="G317">
        <f t="shared" si="6"/>
        <v>0.5063707338477035</v>
      </c>
    </row>
    <row r="318" spans="1:7" ht="12.75">
      <c r="A318" t="s">
        <v>89</v>
      </c>
      <c r="B318">
        <f>+B308</f>
        <v>2.864587223085673</v>
      </c>
      <c r="C318">
        <f>+C308</f>
        <v>2.248963328774682</v>
      </c>
      <c r="F318">
        <f t="shared" si="5"/>
        <v>2.864587223085673</v>
      </c>
      <c r="G318">
        <f t="shared" si="6"/>
        <v>2.7553340626223854</v>
      </c>
    </row>
    <row r="319" spans="2:7" ht="12.75">
      <c r="B319">
        <f>+B298</f>
        <v>1.7149529971036834</v>
      </c>
      <c r="C319">
        <f>+C298</f>
        <v>8.75</v>
      </c>
      <c r="F319">
        <f t="shared" si="5"/>
        <v>1.7149529971036834</v>
      </c>
      <c r="G319">
        <f t="shared" si="6"/>
        <v>9.256370733847703</v>
      </c>
    </row>
    <row r="323" spans="4:5" ht="12.75">
      <c r="D323" t="s">
        <v>25</v>
      </c>
      <c r="E323" t="s">
        <v>26</v>
      </c>
    </row>
    <row r="324" spans="1:5" ht="12.75">
      <c r="A324" t="s">
        <v>13</v>
      </c>
      <c r="B324">
        <f>+B300</f>
        <v>0.0001274588043498337</v>
      </c>
      <c r="C324">
        <f>+C300</f>
        <v>8.77090826323026</v>
      </c>
      <c r="D324">
        <f>(C324-C325)/(B324-B325)</f>
        <v>1.8790295047384047</v>
      </c>
      <c r="E324">
        <f>+C324-D324*B324</f>
        <v>8.770668764376246</v>
      </c>
    </row>
    <row r="325" spans="2:3" ht="12.75">
      <c r="B325">
        <f>+B301</f>
        <v>2.584038453243126</v>
      </c>
      <c r="C325">
        <f>+C301</f>
        <v>13.626153259398672</v>
      </c>
    </row>
    <row r="326" spans="2:3" ht="12.75">
      <c r="B326">
        <v>0</v>
      </c>
      <c r="C326">
        <f>E324</f>
        <v>8.770668764376246</v>
      </c>
    </row>
    <row r="327" spans="1:5" ht="12.75">
      <c r="A327" t="s">
        <v>16</v>
      </c>
      <c r="B327">
        <f>+B304</f>
        <v>8.332445040160723</v>
      </c>
      <c r="C327">
        <f>+C304</f>
        <v>2.5263414721888378</v>
      </c>
      <c r="D327">
        <f>(C327-C328)/(B327-B328)</f>
        <v>0.3639642615606192</v>
      </c>
      <c r="E327">
        <f>+C327-D327*B327</f>
        <v>-0.5063707338477035</v>
      </c>
    </row>
    <row r="328" spans="2:3" ht="12.75">
      <c r="B328">
        <f>+B305</f>
        <v>0.3450424310488396</v>
      </c>
      <c r="C328">
        <f>+C305</f>
        <v>-0.38078762022393153</v>
      </c>
    </row>
    <row r="329" spans="2:3" ht="12.75">
      <c r="B329">
        <v>0</v>
      </c>
      <c r="C329">
        <f>E327</f>
        <v>-0.5063707338477035</v>
      </c>
    </row>
    <row r="332" spans="1:7" ht="12.75">
      <c r="A332" t="s">
        <v>90</v>
      </c>
      <c r="B332">
        <f>+B306</f>
        <v>0.3450424310488396</v>
      </c>
      <c r="C332">
        <f>+C306</f>
        <v>-0.38078762022393153</v>
      </c>
      <c r="D332">
        <f>((C332-C333)^2+(B332-B333)^2)^0.5</f>
        <v>0.3671857808406181</v>
      </c>
      <c r="F332">
        <f t="shared" si="5"/>
        <v>0.3450424310488396</v>
      </c>
      <c r="G332">
        <f aca="true" t="shared" si="9" ref="G332:G339">+C332-$C$329</f>
        <v>0.12558311362377195</v>
      </c>
    </row>
    <row r="333" spans="2:7" ht="12.75">
      <c r="B333">
        <f>+B329</f>
        <v>0</v>
      </c>
      <c r="C333">
        <f>+C329</f>
        <v>-0.5063707338477035</v>
      </c>
      <c r="F333">
        <f t="shared" si="5"/>
        <v>0</v>
      </c>
      <c r="G333">
        <f t="shared" si="9"/>
        <v>0</v>
      </c>
    </row>
    <row r="334" spans="1:7" ht="12.75">
      <c r="A334" t="s">
        <v>91</v>
      </c>
      <c r="B334">
        <f>+B333</f>
        <v>0</v>
      </c>
      <c r="C334">
        <f>+C333</f>
        <v>-0.5063707338477035</v>
      </c>
      <c r="D334">
        <f>((C334-C335)^2+(B334-B335)^2)^0.5</f>
        <v>0.5063707338477035</v>
      </c>
      <c r="F334">
        <f t="shared" si="5"/>
        <v>0</v>
      </c>
      <c r="G334">
        <f t="shared" si="9"/>
        <v>0</v>
      </c>
    </row>
    <row r="335" spans="2:7" ht="12.75">
      <c r="B335">
        <f>+B294</f>
        <v>0</v>
      </c>
      <c r="C335">
        <f>+C294</f>
        <v>0</v>
      </c>
      <c r="F335">
        <f t="shared" si="5"/>
        <v>0</v>
      </c>
      <c r="G335">
        <f t="shared" si="9"/>
        <v>0.5063707338477035</v>
      </c>
    </row>
    <row r="336" spans="1:7" ht="12.75">
      <c r="A336" t="s">
        <v>92</v>
      </c>
      <c r="B336">
        <f>+B300</f>
        <v>0.0001274588043498337</v>
      </c>
      <c r="C336">
        <f>+C300</f>
        <v>8.77090826323026</v>
      </c>
      <c r="D336">
        <f>((C336-C337)^2+(B336-B337)^2)^0.5</f>
        <v>0.00027130323971483433</v>
      </c>
      <c r="F336">
        <f t="shared" si="5"/>
        <v>0.0001274588043498337</v>
      </c>
      <c r="G336">
        <f t="shared" si="9"/>
        <v>9.277278997077962</v>
      </c>
    </row>
    <row r="337" spans="2:7" ht="12.75">
      <c r="B337">
        <f>+B326</f>
        <v>0</v>
      </c>
      <c r="C337">
        <f>+C326</f>
        <v>8.770668764376246</v>
      </c>
      <c r="F337">
        <f t="shared" si="5"/>
        <v>0</v>
      </c>
      <c r="G337">
        <f t="shared" si="9"/>
        <v>9.27703949822395</v>
      </c>
    </row>
    <row r="338" spans="1:7" ht="12.75">
      <c r="A338" t="s">
        <v>93</v>
      </c>
      <c r="B338">
        <f>+B337</f>
        <v>0</v>
      </c>
      <c r="C338">
        <f>+C337</f>
        <v>8.770668764376246</v>
      </c>
      <c r="D338">
        <f>((C338-C339)^2+(B338-B339)^2)^0.5</f>
        <v>0.02066876437624643</v>
      </c>
      <c r="F338">
        <f t="shared" si="5"/>
        <v>0</v>
      </c>
      <c r="G338">
        <f t="shared" si="9"/>
        <v>9.27703949822395</v>
      </c>
    </row>
    <row r="339" spans="2:7" ht="12.75">
      <c r="B339">
        <f>+B296</f>
        <v>5.360024490225213E-16</v>
      </c>
      <c r="C339">
        <f>+C298</f>
        <v>8.75</v>
      </c>
      <c r="F339">
        <f t="shared" si="5"/>
        <v>5.360024490225213E-16</v>
      </c>
      <c r="G339">
        <f t="shared" si="9"/>
        <v>9.256370733847703</v>
      </c>
    </row>
    <row r="340" spans="1:7" ht="12.75">
      <c r="A340" t="s">
        <v>99</v>
      </c>
      <c r="F340">
        <f>+F332</f>
        <v>0.3450424310488396</v>
      </c>
      <c r="G340">
        <f>+G332</f>
        <v>0.12558311362377195</v>
      </c>
    </row>
    <row r="341" spans="6:7" ht="12.75">
      <c r="F341">
        <f>+F335</f>
        <v>0</v>
      </c>
      <c r="G341">
        <f>+G335</f>
        <v>0.5063707338477035</v>
      </c>
    </row>
    <row r="342" spans="1:7" ht="12.75">
      <c r="A342" t="s">
        <v>100</v>
      </c>
      <c r="F342">
        <f>+F336</f>
        <v>0.0001274588043498337</v>
      </c>
      <c r="G342">
        <f>+G336</f>
        <v>9.277278997077962</v>
      </c>
    </row>
    <row r="343" spans="6:7" ht="12.75">
      <c r="F343">
        <f>+F339</f>
        <v>5.360024490225213E-16</v>
      </c>
      <c r="G343">
        <f>+G339</f>
        <v>9.256370733847703</v>
      </c>
    </row>
    <row r="345" spans="1:2" ht="12.75">
      <c r="A345" t="s">
        <v>97</v>
      </c>
      <c r="B345">
        <f>+((G340-G341)^2+(F340-F341)^2)^0.5</f>
        <v>0.5138613538104402</v>
      </c>
    </row>
    <row r="346" spans="1:2" ht="12.75">
      <c r="A346" t="s">
        <v>98</v>
      </c>
      <c r="B346">
        <f>+((G342-G343)^2+(F342-F343)^2)^0.5</f>
        <v>0.020908651727278325</v>
      </c>
    </row>
    <row r="352" ht="12.75">
      <c r="A352" t="s">
        <v>119</v>
      </c>
    </row>
    <row r="353" spans="2:3" ht="12.75">
      <c r="B353" t="s">
        <v>8</v>
      </c>
      <c r="C353" t="s">
        <v>9</v>
      </c>
    </row>
    <row r="354" spans="1:3" ht="12.75">
      <c r="A354" t="s">
        <v>121</v>
      </c>
      <c r="B354">
        <f>+B228</f>
        <v>0</v>
      </c>
      <c r="C354">
        <f>+C228</f>
        <v>0</v>
      </c>
    </row>
    <row r="355" spans="1:3" ht="12.75">
      <c r="A355" t="s">
        <v>120</v>
      </c>
      <c r="B355">
        <f>+B229</f>
        <v>0</v>
      </c>
      <c r="C355" s="4">
        <f>+C229</f>
        <v>8.75</v>
      </c>
    </row>
    <row r="356" spans="1:3" ht="12.75">
      <c r="A356" t="s">
        <v>122</v>
      </c>
      <c r="B356">
        <f>+B231</f>
        <v>2.5962135220894673</v>
      </c>
      <c r="C356">
        <f>+C231</f>
        <v>13.598677690641008</v>
      </c>
    </row>
    <row r="357" spans="1:3" ht="12.75">
      <c r="A357" t="s">
        <v>123</v>
      </c>
      <c r="B357">
        <f>+B233</f>
        <v>8.15355580429277</v>
      </c>
      <c r="C357">
        <f>+C233</f>
        <v>2.401984126984127</v>
      </c>
    </row>
    <row r="358" spans="1:3" ht="12.75">
      <c r="A358" t="s">
        <v>125</v>
      </c>
      <c r="B358">
        <f aca="true" t="shared" si="10" ref="B358:C360">+(B354+B355)/2</f>
        <v>0</v>
      </c>
      <c r="C358">
        <f t="shared" si="10"/>
        <v>4.375</v>
      </c>
    </row>
    <row r="359" spans="1:3" ht="12.75">
      <c r="A359" t="s">
        <v>124</v>
      </c>
      <c r="B359">
        <f t="shared" si="10"/>
        <v>1.2981067610447337</v>
      </c>
      <c r="C359">
        <f t="shared" si="10"/>
        <v>11.174338845320504</v>
      </c>
    </row>
    <row r="360" spans="1:3" ht="12.75">
      <c r="A360" t="s">
        <v>126</v>
      </c>
      <c r="B360">
        <f t="shared" si="10"/>
        <v>5.374884663191119</v>
      </c>
      <c r="C360">
        <f t="shared" si="10"/>
        <v>8.000330908812568</v>
      </c>
    </row>
    <row r="361" spans="1:3" ht="12.75">
      <c r="A361" t="s">
        <v>127</v>
      </c>
      <c r="B361">
        <f>(B357+B354)/2</f>
        <v>4.076777902146385</v>
      </c>
      <c r="C361">
        <f>(C357+C354)/2</f>
        <v>1.2009920634920634</v>
      </c>
    </row>
    <row r="363" spans="2:3" ht="12.75">
      <c r="B363" t="s">
        <v>25</v>
      </c>
      <c r="C363" t="s">
        <v>26</v>
      </c>
    </row>
    <row r="364" spans="1:3" ht="12.75">
      <c r="A364" t="s">
        <v>128</v>
      </c>
      <c r="B364">
        <f>+(C359-C354)/(B359-B354)</f>
        <v>8.60818168478473</v>
      </c>
      <c r="C364">
        <f>C359-B364*B359</f>
        <v>0</v>
      </c>
    </row>
    <row r="365" spans="1:3" ht="12.75">
      <c r="A365" t="s">
        <v>129</v>
      </c>
      <c r="B365">
        <f>+(C358-C356)/(B358-B356)</f>
        <v>3.552742335005508</v>
      </c>
      <c r="C365">
        <f>C358-B365*B358</f>
        <v>4.375</v>
      </c>
    </row>
    <row r="366" spans="1:3" ht="12.75">
      <c r="A366" t="s">
        <v>130</v>
      </c>
      <c r="B366">
        <f>(C360-C354)/(B360-B354)</f>
        <v>1.4884655969645864</v>
      </c>
      <c r="C366">
        <f>C360-B366*B360</f>
        <v>0</v>
      </c>
    </row>
    <row r="367" spans="1:3" ht="12.75">
      <c r="A367" t="s">
        <v>131</v>
      </c>
      <c r="B367">
        <f>(C361-C356)/(B361-B356)</f>
        <v>-8.37362143392396</v>
      </c>
      <c r="C367">
        <f>C361-B367*B361</f>
        <v>35.33838688625259</v>
      </c>
    </row>
    <row r="368" spans="1:3" ht="12.75">
      <c r="A368" t="s">
        <v>132</v>
      </c>
      <c r="B368">
        <f>(C360-C355)/(B360-B355)</f>
        <v>-0.13947631217491954</v>
      </c>
      <c r="C368">
        <f>C360-B368*B360</f>
        <v>8.75</v>
      </c>
    </row>
    <row r="369" spans="1:3" ht="12.75">
      <c r="A369" t="s">
        <v>133</v>
      </c>
      <c r="B369">
        <f>(C359-C357)/(B359-B357)</f>
        <v>-1.279617813945581</v>
      </c>
      <c r="C369">
        <f>C359-B369*B359</f>
        <v>12.835419381156544</v>
      </c>
    </row>
    <row r="370" spans="1:3" ht="12.75">
      <c r="A370" t="s">
        <v>134</v>
      </c>
      <c r="B370">
        <f>(C361-C355)/(B361-B355)</f>
        <v>-1.8517093934730797</v>
      </c>
      <c r="C370">
        <f>C361-B370*B361</f>
        <v>8.75</v>
      </c>
    </row>
    <row r="371" spans="1:3" ht="12.75">
      <c r="A371" t="s">
        <v>135</v>
      </c>
      <c r="B371">
        <f>(C358-C357)/(B358-B357)</f>
        <v>-0.24198226152779856</v>
      </c>
      <c r="C371">
        <f>C358-B371*B358</f>
        <v>4.375</v>
      </c>
    </row>
    <row r="373" spans="2:3" ht="12.75">
      <c r="B373" t="s">
        <v>8</v>
      </c>
      <c r="C373" t="s">
        <v>9</v>
      </c>
    </row>
    <row r="374" spans="1:4" ht="12.75">
      <c r="A374" t="s">
        <v>136</v>
      </c>
      <c r="B374">
        <f>(C365-C364)/(B364-B365)</f>
        <v>0.8654045073631557</v>
      </c>
      <c r="C374">
        <f>+B364*B374+C364</f>
        <v>7.449559230213669</v>
      </c>
      <c r="D374">
        <f>+B365*B374+C365</f>
        <v>7.449559230213669</v>
      </c>
    </row>
    <row r="375" spans="1:4" ht="12.75">
      <c r="A375" t="s">
        <v>137</v>
      </c>
      <c r="B375">
        <f>(C367-C366)/(B366-B367)</f>
        <v>3.583256442127413</v>
      </c>
      <c r="C375">
        <f>+B366*B375+C366</f>
        <v>5.33355393920838</v>
      </c>
      <c r="D375">
        <f>+B367*B375+C367</f>
        <v>5.333553939208379</v>
      </c>
    </row>
    <row r="376" spans="1:4" ht="12.75">
      <c r="A376" t="s">
        <v>138</v>
      </c>
      <c r="B376">
        <f>(C369-C368)/(B368-B369)</f>
        <v>3.583256442127412</v>
      </c>
      <c r="C376">
        <f>+B369*B376+C369</f>
        <v>8.250220605875047</v>
      </c>
      <c r="D376">
        <f>+B368*B376+C368</f>
        <v>8.250220605875045</v>
      </c>
    </row>
    <row r="377" spans="1:4" ht="12.75">
      <c r="A377" t="s">
        <v>139</v>
      </c>
      <c r="B377">
        <f>(C371-C370)/(B370-B371)</f>
        <v>2.7178519347642562</v>
      </c>
      <c r="C377">
        <f>+B370*B377+C370</f>
        <v>3.7173280423280426</v>
      </c>
      <c r="D377">
        <f>+B371*B377+C371</f>
        <v>3.7173280423280426</v>
      </c>
    </row>
    <row r="379" spans="2:3" ht="12.75">
      <c r="B379" t="s">
        <v>25</v>
      </c>
      <c r="C379" t="s">
        <v>26</v>
      </c>
    </row>
    <row r="380" spans="1:4" ht="12.75">
      <c r="A380" t="s">
        <v>140</v>
      </c>
      <c r="B380">
        <f>(C375-C374)/(B375-B374)</f>
        <v>-0.7785579721762249</v>
      </c>
      <c r="C380">
        <f>C374-B380*B374</f>
        <v>8.123326808578494</v>
      </c>
      <c r="D380">
        <f>C375-B380*B375</f>
        <v>8.123326808578494</v>
      </c>
    </row>
    <row r="381" spans="1:4" ht="12.75">
      <c r="A381" t="s">
        <v>141</v>
      </c>
      <c r="B381">
        <f>(C377-C376)/(B377-B376)</f>
        <v>5.237888784931917</v>
      </c>
      <c r="C381">
        <f>C376-B381*B376</f>
        <v>-10.518478125879167</v>
      </c>
      <c r="D381">
        <f>C377-B381*B377</f>
        <v>-10.518478125879167</v>
      </c>
    </row>
    <row r="383" spans="2:4" ht="12.75">
      <c r="B383" t="s">
        <v>8</v>
      </c>
      <c r="C383" t="s">
        <v>9</v>
      </c>
      <c r="D383" t="s">
        <v>142</v>
      </c>
    </row>
    <row r="384" spans="1:3" ht="12.75">
      <c r="A384" s="30" t="s">
        <v>167</v>
      </c>
      <c r="B384" s="30">
        <f>(C381-C380)/(B380-B381)</f>
        <v>3.0984741803678837</v>
      </c>
      <c r="C384" s="30">
        <f>B380*B384+C380</f>
        <v>5.710985033870884</v>
      </c>
    </row>
    <row r="386" spans="1:5" ht="12.75">
      <c r="A386" t="s">
        <v>168</v>
      </c>
      <c r="B386">
        <f>+B384</f>
        <v>3.0984741803678837</v>
      </c>
      <c r="C386">
        <f>+C384</f>
        <v>5.710985033870884</v>
      </c>
      <c r="D386">
        <f>((C386-C387)^2+(B386-B387)^2)^0.5</f>
        <v>3.0984741803678837</v>
      </c>
      <c r="E386">
        <f>+D386*12</f>
        <v>37.181690164414604</v>
      </c>
    </row>
    <row r="387" spans="2:3" ht="12.75">
      <c r="B387">
        <v>0</v>
      </c>
      <c r="C387">
        <f>+C384</f>
        <v>5.710985033870884</v>
      </c>
    </row>
    <row r="388" spans="1:5" ht="12.75">
      <c r="A388" t="s">
        <v>169</v>
      </c>
      <c r="B388">
        <f>+B384</f>
        <v>3.0984741803678837</v>
      </c>
      <c r="C388">
        <f>+C384</f>
        <v>5.710985033870884</v>
      </c>
      <c r="D388">
        <f>((C388-C389)^2+(B388-B389)^2)^0.5</f>
        <v>5.710985033870884</v>
      </c>
      <c r="E388">
        <f>+D388*12</f>
        <v>68.5318204064506</v>
      </c>
    </row>
    <row r="389" spans="2:3" ht="12.75">
      <c r="B389">
        <f>+B384</f>
        <v>3.0984741803678837</v>
      </c>
      <c r="C389">
        <v>0</v>
      </c>
    </row>
    <row r="391" spans="1:5" ht="12.75">
      <c r="A391" t="s">
        <v>170</v>
      </c>
      <c r="B391">
        <f>+B384</f>
        <v>3.0984741803678837</v>
      </c>
      <c r="C391">
        <f>+C384</f>
        <v>5.710985033870884</v>
      </c>
      <c r="D391">
        <f>((C391-C392)^2+(B391-B392)^2)^0.5</f>
        <v>6.497375801314223</v>
      </c>
      <c r="E391">
        <f>+D391*12</f>
        <v>77.96850961577067</v>
      </c>
    </row>
    <row r="392" spans="2:3" ht="12.75">
      <c r="B392">
        <f>+B354</f>
        <v>0</v>
      </c>
      <c r="C392">
        <f>+C354</f>
        <v>0</v>
      </c>
    </row>
    <row r="393" spans="1:5" ht="12.75">
      <c r="A393" t="s">
        <v>171</v>
      </c>
      <c r="B393">
        <f>+B384</f>
        <v>3.0984741803678837</v>
      </c>
      <c r="C393">
        <f>+C384</f>
        <v>5.710985033870884</v>
      </c>
      <c r="D393">
        <f>((C393-C394)^2+(B393-B394)^2)^0.5</f>
        <v>6.041799171299924</v>
      </c>
      <c r="E393">
        <f>+D393*12</f>
        <v>72.50159005559908</v>
      </c>
    </row>
    <row r="394" spans="2:3" ht="12.75">
      <c r="B394">
        <f>+B357</f>
        <v>8.15355580429277</v>
      </c>
      <c r="C394">
        <f>+C357</f>
        <v>2.401984126984127</v>
      </c>
    </row>
  </sheetData>
  <printOptions/>
  <pageMargins left="0.75" right="0.75" top="1" bottom="1" header="0.5" footer="0.5"/>
  <pageSetup horizontalDpi="600" verticalDpi="600" orientation="portrait" r:id="rId2"/>
  <ignoredErrors>
    <ignoredError sqref="C282 B233:C233 B244:C244 D283 B296:C298 B231:C231" formula="1"/>
    <ignoredError sqref="F271:F272" evalError="1"/>
  </ignoredErrors>
  <drawing r:id="rId1"/>
</worksheet>
</file>

<file path=xl/worksheets/sheet3.xml><?xml version="1.0" encoding="utf-8"?>
<worksheet xmlns="http://schemas.openxmlformats.org/spreadsheetml/2006/main" xmlns:r="http://schemas.openxmlformats.org/officeDocument/2006/relationships">
  <dimension ref="A1:F38"/>
  <sheetViews>
    <sheetView showGridLines="0" zoomScale="75" zoomScaleNormal="75" workbookViewId="0" topLeftCell="A1">
      <selection activeCell="A40" sqref="A40"/>
    </sheetView>
  </sheetViews>
  <sheetFormatPr defaultColWidth="9.140625" defaultRowHeight="12.75"/>
  <cols>
    <col min="1" max="5" width="10.7109375" style="0" customWidth="1"/>
  </cols>
  <sheetData>
    <row r="1" ht="18">
      <c r="A1" s="5" t="s">
        <v>101</v>
      </c>
    </row>
    <row r="2" ht="12.75">
      <c r="A2" s="6" t="s">
        <v>95</v>
      </c>
    </row>
    <row r="4" spans="1:5" s="10" customFormat="1" ht="21.75" customHeight="1">
      <c r="A4" s="36" t="s">
        <v>96</v>
      </c>
      <c r="B4" s="37" t="s">
        <v>102</v>
      </c>
      <c r="C4" s="11"/>
      <c r="D4" s="11"/>
      <c r="E4" s="11"/>
    </row>
    <row r="5" spans="1:6" s="7" customFormat="1" ht="12.75">
      <c r="A5" s="7" t="s">
        <v>81</v>
      </c>
      <c r="B5" s="15">
        <f>+Plan!E294*12</f>
        <v>105</v>
      </c>
      <c r="C5" s="13"/>
      <c r="D5" s="8"/>
      <c r="E5" s="9"/>
      <c r="F5" s="9"/>
    </row>
    <row r="6" spans="1:6" s="7" customFormat="1" ht="12.75">
      <c r="A6" s="7" t="s">
        <v>39</v>
      </c>
      <c r="B6" s="15">
        <f>+Plan!E296*12</f>
        <v>20.579435965244194</v>
      </c>
      <c r="C6" s="13"/>
      <c r="D6" s="8"/>
      <c r="E6" s="9"/>
      <c r="F6" s="9"/>
    </row>
    <row r="7" spans="1:6" s="7" customFormat="1" ht="12.75">
      <c r="A7" s="7" t="s">
        <v>80</v>
      </c>
      <c r="B7" s="15">
        <f>+Plan!E298*12</f>
        <v>20.579435965244194</v>
      </c>
      <c r="C7" s="13"/>
      <c r="D7" s="8"/>
      <c r="E7" s="9"/>
      <c r="F7" s="9"/>
    </row>
    <row r="8" spans="1:6" s="7" customFormat="1" ht="12.75">
      <c r="A8" s="7" t="s">
        <v>85</v>
      </c>
      <c r="B8" s="15">
        <f>+Plan!E300*12</f>
        <v>66</v>
      </c>
      <c r="C8" s="13"/>
      <c r="D8" s="8"/>
      <c r="E8" s="9"/>
      <c r="F8" s="9"/>
    </row>
    <row r="9" spans="1:6" s="7" customFormat="1" ht="12.75">
      <c r="A9" s="7" t="s">
        <v>86</v>
      </c>
      <c r="B9" s="15">
        <f>+Plan!E302*12</f>
        <v>150</v>
      </c>
      <c r="C9" s="13"/>
      <c r="D9" s="8"/>
      <c r="E9" s="9"/>
      <c r="F9" s="9"/>
    </row>
    <row r="10" spans="1:6" s="7" customFormat="1" ht="12.75">
      <c r="A10" s="7" t="s">
        <v>87</v>
      </c>
      <c r="B10" s="15">
        <f>+Plan!E304*12</f>
        <v>102</v>
      </c>
      <c r="C10" s="13"/>
      <c r="D10" s="8"/>
      <c r="E10" s="9"/>
      <c r="F10" s="9"/>
    </row>
    <row r="11" spans="1:6" s="7" customFormat="1" ht="12.75">
      <c r="A11" s="7" t="s">
        <v>45</v>
      </c>
      <c r="B11" s="15">
        <f>+Plan!E306*12</f>
        <v>43.703229009408695</v>
      </c>
      <c r="C11" s="13"/>
      <c r="D11" s="8"/>
      <c r="E11" s="9"/>
      <c r="F11" s="9"/>
    </row>
    <row r="12" spans="1:6" s="7" customFormat="1" ht="12.75">
      <c r="A12" s="7" t="s">
        <v>88</v>
      </c>
      <c r="B12" s="15">
        <f>+Plan!E308*12</f>
        <v>43.703229009408695</v>
      </c>
      <c r="C12" s="13"/>
      <c r="D12" s="8"/>
      <c r="E12" s="9"/>
      <c r="F12" s="9"/>
    </row>
    <row r="13" spans="1:6" s="7" customFormat="1" ht="12.75">
      <c r="A13" s="7" t="s">
        <v>40</v>
      </c>
      <c r="B13" s="15">
        <f>+Plan!B254*12</f>
        <v>59.435965038411766</v>
      </c>
      <c r="C13" s="13"/>
      <c r="D13" s="8"/>
      <c r="E13" s="9"/>
      <c r="F13" s="9"/>
    </row>
    <row r="14" spans="1:6" s="7" customFormat="1" ht="12.75">
      <c r="A14" s="7" t="s">
        <v>51</v>
      </c>
      <c r="B14" s="15">
        <f>+Plan!B265*12</f>
        <v>109.0120094445729</v>
      </c>
      <c r="C14" s="13"/>
      <c r="D14" s="8"/>
      <c r="E14" s="9"/>
      <c r="F14" s="9"/>
    </row>
    <row r="15" spans="1:6" s="7" customFormat="1" ht="12.75">
      <c r="A15" s="7" t="s">
        <v>46</v>
      </c>
      <c r="B15" s="15">
        <f>+Plan!B260*12</f>
        <v>65.69866600529832</v>
      </c>
      <c r="C15" s="13"/>
      <c r="D15" s="8"/>
      <c r="E15" s="9"/>
      <c r="F15" s="9"/>
    </row>
    <row r="16" spans="1:6" s="7" customFormat="1" ht="12.75">
      <c r="A16" s="7" t="s">
        <v>53</v>
      </c>
      <c r="B16" s="15">
        <f>+Plan!B267*12</f>
        <v>106.99772513772237</v>
      </c>
      <c r="C16" s="13"/>
      <c r="D16" s="8"/>
      <c r="E16" s="9"/>
      <c r="F16" s="9"/>
    </row>
    <row r="17" spans="1:6" s="7" customFormat="1" ht="12.75">
      <c r="A17" s="7" t="s">
        <v>89</v>
      </c>
      <c r="B17" s="15">
        <f>+Plan!B263*12</f>
        <v>79.22284820807559</v>
      </c>
      <c r="C17" s="13"/>
      <c r="D17" s="8"/>
      <c r="E17" s="9"/>
      <c r="F17" s="9"/>
    </row>
    <row r="18" spans="1:6" s="7" customFormat="1" ht="12.75">
      <c r="A18" s="7" t="s">
        <v>90</v>
      </c>
      <c r="B18" s="15">
        <f>+Plan!D332*12</f>
        <v>4.406229370087417</v>
      </c>
      <c r="C18" s="13"/>
      <c r="D18" s="8"/>
      <c r="E18" s="9"/>
      <c r="F18" s="9"/>
    </row>
    <row r="19" spans="1:6" s="7" customFormat="1" ht="12.75">
      <c r="A19" s="7" t="s">
        <v>91</v>
      </c>
      <c r="B19" s="15">
        <f>+Plan!D334*12</f>
        <v>6.076448806172442</v>
      </c>
      <c r="C19" s="13"/>
      <c r="D19" s="8"/>
      <c r="E19" s="9"/>
      <c r="F19" s="9"/>
    </row>
    <row r="20" spans="1:6" s="7" customFormat="1" ht="12.75">
      <c r="A20" s="7" t="s">
        <v>92</v>
      </c>
      <c r="B20" s="15">
        <f>+Plan!D336*12</f>
        <v>0.003255638876578012</v>
      </c>
      <c r="C20" s="13"/>
      <c r="D20" s="8"/>
      <c r="E20" s="9"/>
      <c r="F20" s="9"/>
    </row>
    <row r="21" spans="1:6" s="7" customFormat="1" ht="12.75">
      <c r="A21" s="7" t="s">
        <v>93</v>
      </c>
      <c r="B21" s="15">
        <f>+Plan!D338*12</f>
        <v>0.24802517251495715</v>
      </c>
      <c r="C21" s="13"/>
      <c r="D21" s="8"/>
      <c r="E21" s="9"/>
      <c r="F21" s="9"/>
    </row>
    <row r="22" spans="1:6" s="7" customFormat="1" ht="12.75">
      <c r="A22" s="7" t="s">
        <v>99</v>
      </c>
      <c r="B22" s="15">
        <f>+Plan!B345*12</f>
        <v>6.166336245725282</v>
      </c>
      <c r="C22" s="13"/>
      <c r="D22" s="8"/>
      <c r="E22" s="9"/>
      <c r="F22" s="9"/>
    </row>
    <row r="23" spans="1:6" s="7" customFormat="1" ht="12.75">
      <c r="A23" s="14" t="s">
        <v>100</v>
      </c>
      <c r="B23" s="16">
        <f>+Plan!B346*12</f>
        <v>0.2509038207273399</v>
      </c>
      <c r="C23" s="13"/>
      <c r="D23" s="8"/>
      <c r="E23" s="9"/>
      <c r="F23" s="9"/>
    </row>
    <row r="25" spans="1:2" ht="12.75">
      <c r="A25" s="7" t="s">
        <v>104</v>
      </c>
      <c r="B25" s="12">
        <f>+B19+B5+B21</f>
        <v>111.3244739786874</v>
      </c>
    </row>
    <row r="28" spans="1:5" s="30" customFormat="1" ht="13.5" thickBot="1">
      <c r="A28" s="39" t="s">
        <v>84</v>
      </c>
      <c r="B28" s="43" t="s">
        <v>157</v>
      </c>
      <c r="C28" s="38" t="s">
        <v>158</v>
      </c>
      <c r="D28" s="52" t="s">
        <v>155</v>
      </c>
      <c r="E28" s="38" t="s">
        <v>156</v>
      </c>
    </row>
    <row r="29" spans="1:5" ht="12.75">
      <c r="A29" s="40" t="s">
        <v>10</v>
      </c>
      <c r="B29" s="44">
        <f>+Plan!F333</f>
        <v>0</v>
      </c>
      <c r="C29" s="45">
        <f>+Plan!G333</f>
        <v>0</v>
      </c>
      <c r="D29" s="50">
        <f>+B29*12</f>
        <v>0</v>
      </c>
      <c r="E29" s="53">
        <f>+C29*12</f>
        <v>0</v>
      </c>
    </row>
    <row r="30" spans="1:5" ht="12.75">
      <c r="A30" s="41" t="s">
        <v>151</v>
      </c>
      <c r="B30" s="46">
        <f>+Plan!F332</f>
        <v>0.3450424310488396</v>
      </c>
      <c r="C30" s="47">
        <f>+Plan!G332</f>
        <v>0.12558311362377195</v>
      </c>
      <c r="D30" s="50">
        <f aca="true" t="shared" si="0" ref="D30:E38">+B30*12</f>
        <v>4.140509172586075</v>
      </c>
      <c r="E30" s="45">
        <f t="shared" si="0"/>
        <v>1.5069973634852634</v>
      </c>
    </row>
    <row r="31" spans="1:5" ht="12.75">
      <c r="A31" s="41" t="s">
        <v>152</v>
      </c>
      <c r="B31" s="46">
        <f>+Plan!F335</f>
        <v>0</v>
      </c>
      <c r="C31" s="47">
        <f>+Plan!G335</f>
        <v>0.5063707338477035</v>
      </c>
      <c r="D31" s="50">
        <f t="shared" si="0"/>
        <v>0</v>
      </c>
      <c r="E31" s="45">
        <f t="shared" si="0"/>
        <v>6.076448806172442</v>
      </c>
    </row>
    <row r="32" spans="1:5" ht="12.75">
      <c r="A32" s="41" t="s">
        <v>12</v>
      </c>
      <c r="B32" s="46">
        <f>+Plan!F337</f>
        <v>0</v>
      </c>
      <c r="C32" s="47">
        <f>+Plan!G337</f>
        <v>9.27703949822395</v>
      </c>
      <c r="D32" s="50">
        <f t="shared" si="0"/>
        <v>0</v>
      </c>
      <c r="E32" s="45">
        <f t="shared" si="0"/>
        <v>111.3244739786874</v>
      </c>
    </row>
    <row r="33" spans="1:5" ht="12.75">
      <c r="A33" s="41" t="s">
        <v>153</v>
      </c>
      <c r="B33" s="46">
        <f>+Plan!F339</f>
        <v>5.360024490225213E-16</v>
      </c>
      <c r="C33" s="47">
        <f>+Plan!G339</f>
        <v>9.256370733847703</v>
      </c>
      <c r="D33" s="50">
        <f t="shared" si="0"/>
        <v>6.432029388270255E-15</v>
      </c>
      <c r="E33" s="45">
        <f t="shared" si="0"/>
        <v>111.07644880617244</v>
      </c>
    </row>
    <row r="34" spans="1:5" ht="12.75">
      <c r="A34" s="41" t="s">
        <v>154</v>
      </c>
      <c r="B34" s="46">
        <f>+Plan!F336</f>
        <v>0.0001274588043498337</v>
      </c>
      <c r="C34" s="47">
        <f>+Plan!G336</f>
        <v>9.277278997077962</v>
      </c>
      <c r="D34" s="50">
        <f t="shared" si="0"/>
        <v>0.0015295056521980044</v>
      </c>
      <c r="E34" s="45">
        <f t="shared" si="0"/>
        <v>111.32734796493554</v>
      </c>
    </row>
    <row r="35" spans="1:5" ht="12.75">
      <c r="A35" s="41" t="s">
        <v>14</v>
      </c>
      <c r="B35" s="46">
        <f>+Plan!F301</f>
        <v>2.584038453243126</v>
      </c>
      <c r="C35" s="47">
        <f>+Plan!G301</f>
        <v>14.132523993246375</v>
      </c>
      <c r="D35" s="50">
        <f t="shared" si="0"/>
        <v>31.008461438917514</v>
      </c>
      <c r="E35" s="45">
        <f t="shared" si="0"/>
        <v>169.5902879189565</v>
      </c>
    </row>
    <row r="36" spans="1:5" ht="12.75">
      <c r="A36" s="41" t="s">
        <v>11</v>
      </c>
      <c r="B36" s="46">
        <f>+Plan!F303</f>
        <v>8.332445040160723</v>
      </c>
      <c r="C36" s="47">
        <f>+Plan!G303</f>
        <v>3.0327122060365412</v>
      </c>
      <c r="D36" s="50">
        <f t="shared" si="0"/>
        <v>99.98934048192868</v>
      </c>
      <c r="E36" s="45">
        <f t="shared" si="0"/>
        <v>36.3925464724385</v>
      </c>
    </row>
    <row r="37" spans="1:5" ht="12.75">
      <c r="A37" s="41" t="s">
        <v>31</v>
      </c>
      <c r="B37" s="46">
        <f>+Plan!F307</f>
        <v>2.864587223085673</v>
      </c>
      <c r="C37" s="47">
        <f>+Plan!G307</f>
        <v>2.7553340626223854</v>
      </c>
      <c r="D37" s="50">
        <f t="shared" si="0"/>
        <v>34.375046677028074</v>
      </c>
      <c r="E37" s="45">
        <f t="shared" si="0"/>
        <v>33.06400875146863</v>
      </c>
    </row>
    <row r="38" spans="1:5" ht="12.75">
      <c r="A38" s="42" t="s">
        <v>30</v>
      </c>
      <c r="B38" s="48">
        <f>+Plan!F297</f>
        <v>1.7149529971036834</v>
      </c>
      <c r="C38" s="49">
        <f>+Plan!G297</f>
        <v>9.256370733847703</v>
      </c>
      <c r="D38" s="51">
        <f t="shared" si="0"/>
        <v>20.5794359652442</v>
      </c>
      <c r="E38" s="49">
        <f t="shared" si="0"/>
        <v>111.07644880617244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8"/>
  <sheetViews>
    <sheetView showGridLines="0" zoomScale="75" zoomScaleNormal="75" workbookViewId="0" topLeftCell="A1">
      <selection activeCell="A29" sqref="A29"/>
    </sheetView>
  </sheetViews>
  <sheetFormatPr defaultColWidth="9.140625" defaultRowHeight="12.75"/>
  <cols>
    <col min="1" max="1" width="13.140625" style="0" customWidth="1"/>
  </cols>
  <sheetData>
    <row r="1" ht="18">
      <c r="A1" s="5" t="s">
        <v>163</v>
      </c>
    </row>
    <row r="2" ht="12.75">
      <c r="A2" s="6" t="s">
        <v>95</v>
      </c>
    </row>
    <row r="4" ht="12.75">
      <c r="A4" s="30" t="s">
        <v>172</v>
      </c>
    </row>
    <row r="5" spans="1:3" ht="12.75">
      <c r="A5" t="str">
        <f>+Plan!A386</f>
        <v>CE to Y-axis</v>
      </c>
      <c r="B5" s="31">
        <f>+Plan!E386</f>
        <v>37.181690164414604</v>
      </c>
      <c r="C5" t="s">
        <v>5</v>
      </c>
    </row>
    <row r="6" spans="1:3" ht="12.75">
      <c r="A6" t="str">
        <f>+Plan!A388</f>
        <v>CE to X-axis</v>
      </c>
      <c r="B6" s="31">
        <f>+Plan!E388</f>
        <v>68.5318204064506</v>
      </c>
      <c r="C6" t="s">
        <v>5</v>
      </c>
    </row>
    <row r="7" spans="1:3" ht="12.75">
      <c r="A7" t="str">
        <f>+Plan!A391</f>
        <v>CE to Tack</v>
      </c>
      <c r="B7" s="31">
        <f>+Plan!E391</f>
        <v>77.96850961577067</v>
      </c>
      <c r="C7" t="s">
        <v>5</v>
      </c>
    </row>
    <row r="8" spans="1:3" ht="12.75">
      <c r="A8" t="str">
        <f>+Plan!A393</f>
        <v>CE to Clew</v>
      </c>
      <c r="B8" s="31">
        <f>+Plan!E393</f>
        <v>72.50159005559908</v>
      </c>
      <c r="C8" t="s">
        <v>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C27"/>
  <sheetViews>
    <sheetView showGridLines="0" zoomScale="75" zoomScaleNormal="75" workbookViewId="0" topLeftCell="A1">
      <selection activeCell="B20" sqref="B20"/>
    </sheetView>
  </sheetViews>
  <sheetFormatPr defaultColWidth="9.140625" defaultRowHeight="12.75"/>
  <cols>
    <col min="1" max="1" width="9.140625" style="58" customWidth="1"/>
    <col min="2" max="2" width="9.140625" style="26" customWidth="1"/>
    <col min="3" max="3" width="53.7109375" style="17" customWidth="1"/>
    <col min="4" max="16384" width="9.140625" style="22" customWidth="1"/>
  </cols>
  <sheetData>
    <row r="1" ht="18">
      <c r="A1" s="54" t="s">
        <v>101</v>
      </c>
    </row>
    <row r="2" ht="12.75">
      <c r="A2" s="55" t="s">
        <v>95</v>
      </c>
    </row>
    <row r="4" spans="1:3" ht="12.75">
      <c r="A4" s="56" t="s">
        <v>114</v>
      </c>
      <c r="B4" s="28" t="s">
        <v>115</v>
      </c>
      <c r="C4" s="29" t="s">
        <v>116</v>
      </c>
    </row>
    <row r="5" spans="1:3" ht="25.5">
      <c r="A5" s="57" t="s">
        <v>176</v>
      </c>
      <c r="B5" s="27">
        <v>38443</v>
      </c>
      <c r="C5" s="17" t="s">
        <v>177</v>
      </c>
    </row>
    <row r="6" spans="1:2" ht="12.75">
      <c r="A6" s="57"/>
      <c r="B6" s="27"/>
    </row>
    <row r="7" spans="1:2" ht="12.75">
      <c r="A7" s="57"/>
      <c r="B7" s="27"/>
    </row>
    <row r="8" spans="1:2" ht="12.75">
      <c r="A8" s="57"/>
      <c r="B8" s="27"/>
    </row>
    <row r="9" spans="1:2" ht="12.75">
      <c r="A9" s="57"/>
      <c r="B9" s="27"/>
    </row>
    <row r="10" spans="1:2" ht="12.75">
      <c r="A10" s="57"/>
      <c r="B10" s="27"/>
    </row>
    <row r="11" spans="1:2" ht="12.75">
      <c r="A11" s="57"/>
      <c r="B11" s="27"/>
    </row>
    <row r="12" spans="1:2" ht="12.75">
      <c r="A12" s="57"/>
      <c r="B12" s="27"/>
    </row>
    <row r="13" spans="1:2" ht="12.75">
      <c r="A13" s="57"/>
      <c r="B13" s="27"/>
    </row>
    <row r="14" spans="1:2" ht="12.75">
      <c r="A14" s="57"/>
      <c r="B14" s="27"/>
    </row>
    <row r="15" spans="1:2" ht="12.75">
      <c r="A15" s="57"/>
      <c r="B15" s="27"/>
    </row>
    <row r="16" spans="1:2" ht="12.75">
      <c r="A16" s="57"/>
      <c r="B16" s="27"/>
    </row>
    <row r="17" spans="1:2" ht="12.75">
      <c r="A17" s="57"/>
      <c r="B17" s="27"/>
    </row>
    <row r="18" spans="1:2" ht="12.75">
      <c r="A18" s="57"/>
      <c r="B18" s="27"/>
    </row>
    <row r="19" spans="1:2" ht="12.75">
      <c r="A19" s="57"/>
      <c r="B19" s="27"/>
    </row>
    <row r="20" spans="1:2" ht="12.75">
      <c r="A20" s="57"/>
      <c r="B20" s="27"/>
    </row>
    <row r="21" spans="1:2" ht="12.75">
      <c r="A21" s="57"/>
      <c r="B21" s="27"/>
    </row>
    <row r="22" spans="1:2" ht="12.75">
      <c r="A22" s="57"/>
      <c r="B22" s="27"/>
    </row>
    <row r="23" spans="1:2" ht="12.75">
      <c r="A23" s="57"/>
      <c r="B23" s="27"/>
    </row>
    <row r="24" spans="1:2" ht="12.75">
      <c r="A24" s="57"/>
      <c r="B24" s="27"/>
    </row>
    <row r="25" spans="1:2" ht="12.75">
      <c r="A25" s="57"/>
      <c r="B25" s="27"/>
    </row>
    <row r="26" ht="12.75">
      <c r="B26" s="27"/>
    </row>
    <row r="27" ht="12.75">
      <c r="B27" s="27"/>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SailDart Version 1.00BC</dc:title>
  <dc:subject>Sail Design</dc:subject>
  <dc:creator>Thomas J. Hamernik</dc:creator>
  <cp:keywords/>
  <dc:description>Used to calculate darts used for shaping sails based on Michalak approach.  BC=Backwards compatible version to be used with older versions of Excel.</dc:description>
  <cp:lastModifiedBy> </cp:lastModifiedBy>
  <cp:lastPrinted>2005-03-22T22:40:51Z</cp:lastPrinted>
  <dcterms:created xsi:type="dcterms:W3CDTF">2005-03-18T15:25:54Z</dcterms:created>
  <dcterms:modified xsi:type="dcterms:W3CDTF">2005-04-01T23:26:59Z</dcterms:modified>
  <cp:category/>
  <cp:version/>
  <cp:contentType/>
  <cp:contentStatus/>
</cp:coreProperties>
</file>